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5075" windowHeight="7605" activeTab="0"/>
  </bookViews>
  <sheets>
    <sheet name="1. Acerca de esta Herramienta" sheetId="1" r:id="rId1"/>
    <sheet name="2. Instrucciones" sheetId="2" r:id="rId2"/>
    <sheet name="3. Herramienta de costeo" sheetId="3" r:id="rId3"/>
    <sheet name="4. Tablas resumen" sheetId="4" r:id="rId4"/>
    <sheet name="5. Gráficos resumen" sheetId="5" r:id="rId5"/>
    <sheet name="6. Costos medicamentos-PTMI" sheetId="6" r:id="rId6"/>
    <sheet name="7. Costo alimentac. sustitución" sheetId="7" r:id="rId7"/>
    <sheet name="8. Costos medic. VIH pediátrico" sheetId="8" r:id="rId8"/>
    <sheet name="9. Referencias" sheetId="9" r:id="rId9"/>
    <sheet name="10.Acrónimos" sheetId="10" r:id="rId10"/>
  </sheets>
  <definedNames>
    <definedName name="_xlnm.Print_Area" localSheetId="1">'2. Instrucciones'!$B$1:$C$93</definedName>
    <definedName name="_xlnm.Print_Area" localSheetId="2">'3. Herramienta de costeo'!$B$2:$G$201</definedName>
    <definedName name="_xlnm.Print_Area" localSheetId="3">'4. Tablas resumen'!$A$1:$J$39</definedName>
  </definedNames>
  <calcPr fullCalcOnLoad="1"/>
</workbook>
</file>

<file path=xl/comments3.xml><?xml version="1.0" encoding="utf-8"?>
<comments xmlns="http://schemas.openxmlformats.org/spreadsheetml/2006/main">
  <authors>
    <author>PAHO LAN User</author>
  </authors>
  <commentList>
    <comment ref="G5" authorId="0">
      <text>
        <r>
          <rPr>
            <b/>
            <sz val="12"/>
            <color indexed="10"/>
            <rFont val="Tw Cen MT"/>
            <family val="2"/>
          </rPr>
          <t xml:space="preserve">Esta casilla debe permanecer </t>
        </r>
        <r>
          <rPr>
            <b/>
            <u val="single"/>
            <sz val="12"/>
            <color indexed="10"/>
            <rFont val="Tw Cen MT"/>
            <family val="2"/>
          </rPr>
          <t>en blanco</t>
        </r>
        <r>
          <rPr>
            <b/>
            <sz val="12"/>
            <color indexed="10"/>
            <rFont val="Tw Cen MT"/>
            <family val="2"/>
          </rPr>
          <t>, para poder realizar las estimaciones SIN la influencia del acceso a los servicios de Atención Prenatal</t>
        </r>
      </text>
    </comment>
    <comment ref="G6" authorId="0">
      <text>
        <r>
          <rPr>
            <sz val="10"/>
            <color indexed="12"/>
            <rFont val="Tahoma"/>
            <family val="2"/>
          </rPr>
          <t xml:space="preserve">Cobertura de prueba de VIH, </t>
        </r>
        <r>
          <rPr>
            <u val="single"/>
            <sz val="10"/>
            <color indexed="12"/>
            <rFont val="Tahoma"/>
            <family val="2"/>
          </rPr>
          <t>independientemente</t>
        </r>
        <r>
          <rPr>
            <sz val="10"/>
            <color indexed="12"/>
            <rFont val="Tahoma"/>
            <family val="2"/>
          </rPr>
          <t xml:space="preserve"> de la asistencia a servicios de atención prenatal</t>
        </r>
        <r>
          <rPr>
            <sz val="8"/>
            <rFont val="Tahoma"/>
            <family val="0"/>
          </rPr>
          <t xml:space="preserve">
</t>
        </r>
      </text>
    </comment>
    <comment ref="G7" authorId="0">
      <text>
        <r>
          <rPr>
            <sz val="10"/>
            <color indexed="12"/>
            <rFont val="Tahoma"/>
            <family val="2"/>
          </rPr>
          <t xml:space="preserve">Cobertura de TARV, </t>
        </r>
        <r>
          <rPr>
            <u val="single"/>
            <sz val="10"/>
            <color indexed="12"/>
            <rFont val="Tahoma"/>
            <family val="2"/>
          </rPr>
          <t xml:space="preserve">independientemente </t>
        </r>
        <r>
          <rPr>
            <sz val="10"/>
            <color indexed="12"/>
            <rFont val="Tahoma"/>
            <family val="2"/>
          </rPr>
          <t>de la asistencia a servicios de atención prenatal y prueba de VIH</t>
        </r>
        <r>
          <rPr>
            <sz val="8"/>
            <rFont val="Tahoma"/>
            <family val="0"/>
          </rPr>
          <t xml:space="preserve">
</t>
        </r>
      </text>
    </comment>
    <comment ref="G108" authorId="0">
      <text>
        <r>
          <rPr>
            <sz val="10"/>
            <color indexed="12"/>
            <rFont val="Tahoma"/>
            <family val="2"/>
          </rPr>
          <t xml:space="preserve">Cobertura de prueba de sífilis, </t>
        </r>
        <r>
          <rPr>
            <u val="single"/>
            <sz val="10"/>
            <color indexed="12"/>
            <rFont val="Tahoma"/>
            <family val="2"/>
          </rPr>
          <t>independientemente</t>
        </r>
        <r>
          <rPr>
            <sz val="10"/>
            <color indexed="12"/>
            <rFont val="Tahoma"/>
            <family val="2"/>
          </rPr>
          <t xml:space="preserve"> de la asistencia a servicios de atención prenatal</t>
        </r>
      </text>
    </comment>
    <comment ref="G109" authorId="0">
      <text>
        <r>
          <rPr>
            <sz val="10"/>
            <color indexed="12"/>
            <rFont val="Tahoma"/>
            <family val="2"/>
          </rPr>
          <t xml:space="preserve">Cobertura de tratamiento para mujeres que se realizaron la prueba y tuvieron resultados positivos, </t>
        </r>
        <r>
          <rPr>
            <u val="single"/>
            <sz val="10"/>
            <color indexed="12"/>
            <rFont val="Tahoma"/>
            <family val="2"/>
          </rPr>
          <t xml:space="preserve">independientemente </t>
        </r>
        <r>
          <rPr>
            <sz val="10"/>
            <color indexed="12"/>
            <rFont val="Tahoma"/>
            <family val="2"/>
          </rPr>
          <t>de la asistencia a servicios de atención prenatal</t>
        </r>
      </text>
    </comment>
  </commentList>
</comments>
</file>

<file path=xl/sharedStrings.xml><?xml version="1.0" encoding="utf-8"?>
<sst xmlns="http://schemas.openxmlformats.org/spreadsheetml/2006/main" count="744" uniqueCount="501">
  <si>
    <t xml:space="preserve">7) Las mujeres embarazadas con VIH elegibles para tratamiento antirretroviral (TARV) iniciaron el tratamiento a partir de la semana 14 y continuaron indefinidamente. No obstante, los costos de TARV incluidos son únicamente para el periodo prenatal </t>
  </si>
  <si>
    <r>
      <t xml:space="preserve">5) Los niños/as con VIH  recibieron TARV hasta la edad de 15 años siguiendo las guías de OMS </t>
    </r>
    <r>
      <rPr>
        <i/>
        <sz val="12"/>
        <rFont val="Tw Cen MT"/>
        <family val="2"/>
      </rPr>
      <t>'Antiretroviral therapy for HIV infection in infants and children: towards universal access, recommendations for a public health approach 2010 version'.</t>
    </r>
  </si>
  <si>
    <t>7) No hubo pérdidas de seguimiento entre niños/as en TARV</t>
  </si>
  <si>
    <t xml:space="preserve">8) No se hospitalizó a ningún niño/a </t>
  </si>
  <si>
    <t xml:space="preserve">AZT 300 mg/3TC 150 mg dos veces al día </t>
  </si>
  <si>
    <t xml:space="preserve">LPV/r 200/50 mg 2tab dos veces al día </t>
  </si>
  <si>
    <t xml:space="preserve">ABC 300 mg dos veces al día </t>
  </si>
  <si>
    <t>EFV 600 mg una vez al día</t>
  </si>
  <si>
    <t>TDF 300 mg/3TC 300 mg/EFV 600 mg una vez al día</t>
  </si>
  <si>
    <t>TDF 300 mg/FTC 200 mg/EFV 600 mg una vez al día</t>
  </si>
  <si>
    <t>Resumen</t>
  </si>
  <si>
    <t xml:space="preserve">Número total de visitas a establecimientos de salud necesarias durante el embarazo hasta 18 meses después del nacimiento </t>
  </si>
  <si>
    <t>Número estimado de nacimientos por año (o por un periodo de tiempo definido) para la población objetivo</t>
  </si>
  <si>
    <t>Escenario</t>
  </si>
  <si>
    <t>Número estimado de nacimientos</t>
  </si>
  <si>
    <t>Prevalencia del VIH entre mujeres embarazadas (%)</t>
  </si>
  <si>
    <t xml:space="preserve">Porcentaje de asistencia a servicios de atención prenatal (%) </t>
  </si>
  <si>
    <t>Porcentaje de mujeres embarazadas que se realizaron la prueba del VIH (%)</t>
  </si>
  <si>
    <t>PTMI</t>
  </si>
  <si>
    <t>-</t>
  </si>
  <si>
    <t>LPV/r 80mg/ 20mg</t>
  </si>
  <si>
    <t>Tamizaje de VIH en servicios de atención prenatal</t>
  </si>
  <si>
    <t>Precio unitario de prueba de VIH (tamizaje)</t>
  </si>
  <si>
    <t>Precio unitario de prueba de VIH (confirmación)</t>
  </si>
  <si>
    <t xml:space="preserve">Precio unitario para prueba de CD4 </t>
  </si>
  <si>
    <t>Herramienta de costeo</t>
  </si>
  <si>
    <t>Porcentaje de mujeres embarazadas que se realizaron la prueba de VIH (%)</t>
  </si>
  <si>
    <t>Número de mujeres embarazadas positivas para VIH</t>
  </si>
  <si>
    <t>Jarabes</t>
  </si>
  <si>
    <r>
      <t xml:space="preserve">Cobertura de prueba de VIH entre mujeres embarazadas </t>
    </r>
    <r>
      <rPr>
        <b/>
        <u val="single"/>
        <sz val="11"/>
        <color indexed="8"/>
        <rFont val="Tw Cen MT"/>
        <family val="2"/>
      </rPr>
      <t>que accedieron a servicios de atención prenatal</t>
    </r>
    <r>
      <rPr>
        <sz val="11"/>
        <color indexed="8"/>
        <rFont val="Tw Cen MT"/>
        <family val="2"/>
      </rPr>
      <t xml:space="preserve"> 
* para el '</t>
    </r>
    <r>
      <rPr>
        <i/>
        <sz val="11"/>
        <color indexed="8"/>
        <rFont val="Tw Cen MT"/>
        <family val="2"/>
      </rPr>
      <t>escenario actual sin datos de CPN</t>
    </r>
    <r>
      <rPr>
        <sz val="11"/>
        <color indexed="8"/>
        <rFont val="Tw Cen MT"/>
        <family val="2"/>
      </rPr>
      <t>', introduzca la cobertura de prueba de VIH, independientemente de la asistencia a servicios de atención prenatal</t>
    </r>
  </si>
  <si>
    <r>
      <t>E</t>
    </r>
    <r>
      <rPr>
        <sz val="11"/>
        <color indexed="8"/>
        <rFont val="Tw Cen MT"/>
        <family val="2"/>
      </rPr>
      <t xml:space="preserve">xisten varios supuestos que deben tenerse en cuenta para hacer un uso apropiado de esta herramienta. Estos supuestos reflejan: </t>
    </r>
  </si>
  <si>
    <r>
      <t>L</t>
    </r>
    <r>
      <rPr>
        <sz val="11"/>
        <color indexed="8"/>
        <rFont val="Tw Cen MT"/>
        <family val="2"/>
      </rPr>
      <t>a herramienta consiste de:</t>
    </r>
  </si>
  <si>
    <t>*  Las referencias utilizadas para el desarrollo del modelo están incluidas en la hoja 'Referencias'</t>
  </si>
  <si>
    <t xml:space="preserve">4) Los niños/as con VIH recibieron profilaxis con Trimetroprim sulfametoxazol (CTX) hasta la edad de 5 años </t>
  </si>
  <si>
    <t>ABC 300mg</t>
  </si>
  <si>
    <t>AZT 10mg/ml</t>
  </si>
  <si>
    <t>AZT 300mg</t>
  </si>
  <si>
    <t>AZT 300mg/3TC 150mg</t>
  </si>
  <si>
    <t>AZT 300mg/3TC 150mg/NVP 200mg</t>
  </si>
  <si>
    <t>EFV 600mg</t>
  </si>
  <si>
    <t>LPV/r 200mg/50mg</t>
  </si>
  <si>
    <t>NVP 10mg/ml</t>
  </si>
  <si>
    <t>TDF 300mg/3TC 300mg/EFV 600mg</t>
  </si>
  <si>
    <t>TDF 300mg/FTC 200mg/EFV 600mg</t>
  </si>
  <si>
    <t>AZT 60mg/3TC 30mg/NVP 50mg</t>
  </si>
  <si>
    <t>AZT 60mg/3TC 30mg</t>
  </si>
  <si>
    <t>LPV/r 80mg/20mg</t>
  </si>
  <si>
    <t>LPV/r 100 mg/25 mg</t>
  </si>
  <si>
    <t>EFV 200mg</t>
  </si>
  <si>
    <t>Entrada de datos</t>
  </si>
  <si>
    <t>Descripción</t>
  </si>
  <si>
    <t>Total</t>
  </si>
  <si>
    <t>NVP+AZT+3TC</t>
  </si>
  <si>
    <t xml:space="preserve">1) Las mujeres embarazadas tuvieron su primera visita prenatal a las 14 semanas de gestación </t>
  </si>
  <si>
    <t>Volumen de fórmula adaptada por 50ml de agua (g)</t>
  </si>
  <si>
    <t>Volumen de fórmula adaptada por lata (en gramos)</t>
  </si>
  <si>
    <t xml:space="preserve">8) Las mujeres embarazadas dieron a luz por cesárea o por parto vaginal a un niño/a (peso al nacer &gt;2500g) en la semana 38 </t>
  </si>
  <si>
    <r>
      <t xml:space="preserve">1) El riesgo de </t>
    </r>
    <r>
      <rPr>
        <b/>
        <sz val="12"/>
        <rFont val="Tw Cen MT"/>
        <family val="2"/>
      </rPr>
      <t>transmisión maternoinfantil del VIH</t>
    </r>
    <r>
      <rPr>
        <sz val="12"/>
        <rFont val="Tw Cen MT"/>
        <family val="2"/>
      </rPr>
      <t xml:space="preserve"> fue estimado en: 
       Profilaxis ARV  + alimentación de sustitución: </t>
    </r>
    <r>
      <rPr>
        <b/>
        <sz val="12"/>
        <rFont val="Tw Cen MT"/>
        <family val="2"/>
      </rPr>
      <t xml:space="preserve"> 0.5 - 2%</t>
    </r>
    <r>
      <rPr>
        <sz val="12"/>
        <rFont val="Tw Cen MT"/>
        <family val="2"/>
      </rPr>
      <t xml:space="preserve"> 
       No Profilaxis ARV:        </t>
    </r>
    <r>
      <rPr>
        <b/>
        <sz val="12"/>
        <rFont val="Tw Cen MT"/>
        <family val="2"/>
      </rPr>
      <t>15 - 32 %</t>
    </r>
    <r>
      <rPr>
        <sz val="12"/>
        <rFont val="Tw Cen MT"/>
        <family val="2"/>
      </rPr>
      <t xml:space="preserve"> +  lo que aporta el tiempo de lactancia materna</t>
    </r>
  </si>
  <si>
    <t xml:space="preserve">Número total de visitas (desde la semana 14 de embarazo hasta 18 meses después del nacimiento) </t>
  </si>
  <si>
    <t>Niños/as en régimen de 2ª línea</t>
  </si>
  <si>
    <t>Tasa de fracaso de tratamiento (cambio a régimen de 2ª línea) por año (%)</t>
  </si>
  <si>
    <t xml:space="preserve">Introduzca los datos de país disponibles </t>
  </si>
  <si>
    <t>Prevención de sífilis congénita</t>
  </si>
  <si>
    <t>Prevalencia de sífilis entre mujeres embarazadas (%)</t>
  </si>
  <si>
    <t>Porcentaje de mujeres embarazadas que se realizaron la prueba de sífilis (%)</t>
  </si>
  <si>
    <t>Número de visitas por niño/a y año</t>
  </si>
  <si>
    <t>Número requerido de visitas a establecimientos de salud por niño/a y año</t>
  </si>
  <si>
    <t>AZT + 3TC + NVP</t>
  </si>
  <si>
    <t xml:space="preserve">AZT + 3TC + LPV/r </t>
  </si>
  <si>
    <t>AZT + 3TC + ABC</t>
  </si>
  <si>
    <t>AZT + 3TC + EFV</t>
  </si>
  <si>
    <t>TDF + 3TC + EFV</t>
  </si>
  <si>
    <t>TDF + FTC + EFV</t>
  </si>
  <si>
    <t>Régimen</t>
  </si>
  <si>
    <t>Madre</t>
  </si>
  <si>
    <t>Niño/a</t>
  </si>
  <si>
    <t>Madre (alimentación de sustitución)</t>
  </si>
  <si>
    <t xml:space="preserve">Régimen seleccionado para la madre
AZT+3TC+LPV/r con alimentación de sustitución </t>
  </si>
  <si>
    <t>Régimen seleccionado para el niño/a (AZT)</t>
  </si>
  <si>
    <r>
      <t>E</t>
    </r>
    <r>
      <rPr>
        <sz val="11"/>
        <rFont val="Tw Cen MT"/>
        <family val="2"/>
      </rPr>
      <t>sta herramienta está diseñada para ser utilizada en la estimación de los recursos económicos necesarios, a nivel nacional o subnacional, para alcanzar los objetivos de la I</t>
    </r>
    <r>
      <rPr>
        <i/>
        <sz val="11"/>
        <rFont val="Tw Cen MT"/>
        <family val="2"/>
      </rPr>
      <t>niciativa Regional para la Eliminación de la transmisión maternoinfantil del VIH y de la sífilis congénita en América Latina y el Caribe (IE)</t>
    </r>
    <r>
      <rPr>
        <sz val="11"/>
        <rFont val="Tw Cen MT"/>
        <family val="2"/>
      </rPr>
      <t>. La información obtenida permitirá a los tomadores de decisiones presupuestar el paquete estándar de servicios necesarios previamente identificado. Otro de sus potenciales es su uso como herramienta de apoyo a gobiernos y otras agencias en la preparación de propuestas a donantes para la movilización de recursos.
Debe tenerse en cuenta que esta herramienta sólo proporcionará estimaciones. Los costos finales reales pueden variar en función de varias circunstancias, entre otras, cambios en las condiciones de los precios de mercado en el país, cambios en la fuente de precios que se utiliza para realizar los cálculos de costos o cambios en las condiciones de los acuerdos.</t>
    </r>
  </si>
  <si>
    <r>
      <t xml:space="preserve">1) Tratamiento para niños/as </t>
    </r>
    <r>
      <rPr>
        <b/>
        <i/>
        <u val="single"/>
        <sz val="11"/>
        <color indexed="12"/>
        <rFont val="Tw Cen MT"/>
        <family val="2"/>
      </rPr>
      <t>con</t>
    </r>
    <r>
      <rPr>
        <b/>
        <i/>
        <sz val="11"/>
        <color indexed="12"/>
        <rFont val="Tw Cen MT"/>
        <family val="2"/>
      </rPr>
      <t xml:space="preserve"> exposición previa a NVP (AZT/3TC/LPV/r)</t>
    </r>
  </si>
  <si>
    <r>
      <t xml:space="preserve">2) Tratamiento para niños/as </t>
    </r>
    <r>
      <rPr>
        <b/>
        <i/>
        <u val="single"/>
        <sz val="11"/>
        <color indexed="12"/>
        <rFont val="Tw Cen MT"/>
        <family val="2"/>
      </rPr>
      <t>sin</t>
    </r>
    <r>
      <rPr>
        <b/>
        <i/>
        <sz val="11"/>
        <color indexed="12"/>
        <rFont val="Tw Cen MT"/>
        <family val="2"/>
      </rPr>
      <t xml:space="preserve"> exposición previa a NVP</t>
    </r>
  </si>
  <si>
    <t>Costo unitario de ARVs (en USD)</t>
  </si>
  <si>
    <t xml:space="preserve">Gramos de polvo por 50mL de agua </t>
  </si>
  <si>
    <t xml:space="preserve">Gramos de polvo por lata </t>
  </si>
  <si>
    <t>Costo unitario por lata (en USD)</t>
  </si>
  <si>
    <t xml:space="preserve">Costo unitario de ARV (en USD) </t>
  </si>
  <si>
    <t xml:space="preserve">costo unitario de ARVs </t>
  </si>
  <si>
    <t>Costo total de fórmula adaptada ($)</t>
  </si>
  <si>
    <t>Gramos de polvo necesarios</t>
  </si>
  <si>
    <t xml:space="preserve">Gramos de polvo acumulados </t>
  </si>
  <si>
    <t xml:space="preserve">Costo total de ARV por niño/a durante el periodo con peso de 3-6 kg </t>
  </si>
  <si>
    <t xml:space="preserve">Costo total de ARV por niño/a durante el periodo con peso de &gt;25kg </t>
  </si>
  <si>
    <t xml:space="preserve">Costo total de ARV por niño/a durante el periodo con peso de 20-25 kg </t>
  </si>
  <si>
    <t>Costo total de ARV durante el periodo &gt;25kg</t>
  </si>
  <si>
    <t>Costo total de ARV</t>
  </si>
  <si>
    <t xml:space="preserve">2) Tratamiento para niños/as sin exposición previa a NVP                                        </t>
  </si>
  <si>
    <t>Por favor seleccione 1 ó 2 en la celda de más abajo</t>
  </si>
  <si>
    <t>Por favor seleccione 1,  2 ó 3 en la celda de más abajo</t>
  </si>
  <si>
    <t>Costo total de ARV durante el periodo 14-20kg</t>
  </si>
  <si>
    <t xml:space="preserve">Costo total de ARV durante el periodo 3-6kg </t>
  </si>
  <si>
    <t>Costo total de ARV durante el periodo 6-10kg</t>
  </si>
  <si>
    <t>Costo total de ARV durante el periodo 10-14kg</t>
  </si>
  <si>
    <t>Costo total de ARV durante el periodo 20-25kg</t>
  </si>
  <si>
    <t xml:space="preserve">Costo de profilaxis con trimetroprim sulfametoxazol por niño/a durante 5 años  </t>
  </si>
  <si>
    <t>Costo unitario de prueba de VIH (tamizaje)</t>
  </si>
  <si>
    <t xml:space="preserve">Costo total de prueba de VIH (tamizaje) para todas las mujeres embarazadas </t>
  </si>
  <si>
    <t>Costo total de prueba de VIH (confirmación) para mujeres embarazadas con VIH</t>
  </si>
  <si>
    <t>Costo total de prueba de VIH para parejas de mujeres embarazadas con VIH</t>
  </si>
  <si>
    <t xml:space="preserve">Costo unitario de consejería para mujeres embarazadas con VIH </t>
  </si>
  <si>
    <t xml:space="preserve">Costo total de consejería para mujeres embarazadas con VIH </t>
  </si>
  <si>
    <t>Costo unitario de prueba de CD4</t>
  </si>
  <si>
    <t>Costo total de prueba de CD4 para mujeres embarazadas con VIH (dos veces durante el control prenatal).</t>
  </si>
  <si>
    <t>Costo total de carga viral para mujeres embarazadas con VIH (dos veces durante el control prenatal).</t>
  </si>
  <si>
    <t>Costo total de profilaxis con trimetroprim sulfametoxazol para niños/as infectados</t>
  </si>
  <si>
    <t xml:space="preserve">6) Los niños/as con VIH recibieron seguimiento incluyendo monitoreo periódico de laboratorio </t>
  </si>
  <si>
    <t>2) Se realizó la prueba virológica de VIH a las 6 semanas a los niños/as expuestos al VIH cuya madre no tuvo acceso a los servicios de PTMI. Si dieron resulados positivos, se realizó una prueba confirmatoria y se inició TARV</t>
  </si>
  <si>
    <t>Costos por caso de sífilis gestacional</t>
  </si>
  <si>
    <t>Si no hay datos disponibles, introduzca 0 o mantenga las tasas de desecho establecidas por defecto (5% para pastillas y 20% para jarabes)</t>
  </si>
  <si>
    <t>AZT 10mg/mL</t>
  </si>
  <si>
    <t xml:space="preserve">14) Tanto la madre como los niños/as &lt;12 meses expuestos recibieron seguimiento hasta que el niño/a alcanzó los 18 meses de edad. </t>
  </si>
  <si>
    <t>15) Se realizó la prueba de sífilis a las mujeres embarazadas dos veces durante el período de control prenatal.</t>
  </si>
  <si>
    <t>17) Los casos de sífilis gestacional fueron tratados con bencilpenicilina /2.4 millones de unidades x 3 dosis.</t>
  </si>
  <si>
    <t>La información sobre costos unitarios de los servicios de salud de cada país está disponible en http://www.who.int/choice/costs/en/index.html (Selección de intervenciones costo-efectivas de la OMS, WHO-CHOICE)</t>
  </si>
  <si>
    <t>Diferencia de costo entre regímenes de 1ª y 2ª línea (por persona por año)</t>
  </si>
  <si>
    <t>Costo de fórmula adaptada por lata</t>
  </si>
  <si>
    <r>
      <t>Volumen de fórmula adaptada</t>
    </r>
    <r>
      <rPr>
        <b/>
        <sz val="11"/>
        <color indexed="8"/>
        <rFont val="Tw Cen MT"/>
        <family val="2"/>
      </rPr>
      <t xml:space="preserve"> </t>
    </r>
    <r>
      <rPr>
        <sz val="11"/>
        <color indexed="8"/>
        <rFont val="Tw Cen MT"/>
        <family val="2"/>
      </rPr>
      <t>para mezclar con 50mL de agua (en gramos)</t>
    </r>
  </si>
  <si>
    <r>
      <t>Costo de la profilaxis con Trimetroprim sulfametoxazol (co-trimoxazole) por niño/a &lt;12 meses 
Si no hay datos disponibles, introduzca $14.2</t>
    </r>
    <r>
      <rPr>
        <vertAlign val="superscript"/>
        <sz val="11"/>
        <color indexed="8"/>
        <rFont val="Tw Cen MT"/>
        <family val="2"/>
      </rPr>
      <t>16</t>
    </r>
    <r>
      <rPr>
        <sz val="11"/>
        <color indexed="8"/>
        <rFont val="Tw Cen MT"/>
        <family val="2"/>
      </rPr>
      <t xml:space="preserve"> por niño/a &lt;12 meses</t>
    </r>
  </si>
  <si>
    <t>Costo de prueba virológica de VIH por caso</t>
  </si>
  <si>
    <t>Costo de prueba serológica de VIH por caso</t>
  </si>
  <si>
    <t>Porcentaje de mujeres que asisten a servicios de atención prenatal (por lo menos 4 controles y el primero de ellos antes de la semana 14)</t>
  </si>
  <si>
    <r>
      <t>Costo de consejería posterior a la prueba para cuidadores por caso positivo 
(*La media de los servicios de PCV es de $16 por cliente</t>
    </r>
    <r>
      <rPr>
        <vertAlign val="superscript"/>
        <sz val="11"/>
        <color indexed="8"/>
        <rFont val="Tw Cen MT"/>
        <family val="2"/>
      </rPr>
      <t>15)</t>
    </r>
  </si>
  <si>
    <r>
      <t xml:space="preserve">Los costos unitarios de servicios de salud para cada país se encuentran disponibles en </t>
    </r>
    <r>
      <rPr>
        <sz val="11"/>
        <color indexed="12"/>
        <rFont val="Tw Cen MT"/>
        <family val="2"/>
      </rPr>
      <t>http://www.who.int/choice/costs/en/index.html</t>
    </r>
    <r>
      <rPr>
        <sz val="11"/>
        <color indexed="8"/>
        <rFont val="Tw Cen MT"/>
        <family val="2"/>
      </rPr>
      <t xml:space="preserve"> (Selección de intervenciones costo-efectivas de la OMS, WHO-CHOICE)</t>
    </r>
  </si>
  <si>
    <t>Costo de prueba de tamizaje de sífilis por caso</t>
  </si>
  <si>
    <t xml:space="preserve">Costo de bencilpenicilina (2.4millones de unidades) </t>
  </si>
  <si>
    <t>Costo de bencilpenicilina (150 000 unidades)  
Se asume un peso corporal del recién nacido de 3kg</t>
  </si>
  <si>
    <t>Costo de prueba de sífilis para diagnóstico de la infección en niños/as &lt;12 meses</t>
  </si>
  <si>
    <t>Costo de una prueba de tamizaje de VIH por caso</t>
  </si>
  <si>
    <t>Costo de prueba CD4 por caso</t>
  </si>
  <si>
    <t>Costo de carga viral por caso</t>
  </si>
  <si>
    <r>
      <t>Costo de profilaxis con trimetroprim sulfametoxazol durante 5 años
Si no hay datos disponibles, introduzca $50</t>
    </r>
    <r>
      <rPr>
        <vertAlign val="superscript"/>
        <sz val="11"/>
        <color indexed="8"/>
        <rFont val="Tw Cen MT"/>
        <family val="2"/>
      </rPr>
      <t>16</t>
    </r>
    <r>
      <rPr>
        <sz val="11"/>
        <color indexed="8"/>
        <rFont val="Tw Cen MT"/>
        <family val="2"/>
      </rPr>
      <t xml:space="preserve"> </t>
    </r>
  </si>
  <si>
    <t xml:space="preserve">Costo de servicio de salud por visita (consulta externa) </t>
  </si>
  <si>
    <t>Costo de la fórmula adaptada por niño/a</t>
  </si>
  <si>
    <t>Costo unitario de fórmula adaptada por lata</t>
  </si>
  <si>
    <t xml:space="preserve">Costo adicional de proporcionar cesárea a mujeres embarazadas con VIH </t>
  </si>
  <si>
    <t>Costo de profilaxis con trimetroprim sulfametoxazol (co-trimoxazol) hasta 18 meses de edad (por niño/a &lt;12 meses expuesto)</t>
  </si>
  <si>
    <t>Costo total de profilaxis con Trimetroprim sulfametoxazol para niños/as expuestos</t>
  </si>
  <si>
    <t>Costo unitario de prueba virológica de VIH para niños/as expuestos</t>
  </si>
  <si>
    <t>Costo unitario de prueba serológica de VIH para niños/as expuestos</t>
  </si>
  <si>
    <t>Costo total de diagnóstico de laboratorio para niños/as expuestos</t>
  </si>
  <si>
    <t>Porcentaje de mujeres embarazadas con sífilis gestacional que recibieron tratamiento hasta la semana 24 de embarazo (%)</t>
  </si>
  <si>
    <t>Porcentaje de mujeres con VIH que tienen parto por cesárea</t>
  </si>
  <si>
    <t>Porcentaje de mujeres con VIH que tienen parto por vía vaginal</t>
  </si>
  <si>
    <t>Costo de cesárea (incluyendo AZT ev) (en USD)</t>
  </si>
  <si>
    <t>Costo de parto vaginal (incluyendo AZT ev) (en USD)</t>
  </si>
  <si>
    <t>Costo unitario de consejería para cuidadores de niños/as con VIH</t>
  </si>
  <si>
    <t>Costo total de consejería para cuidadores de niños/as con VIH</t>
  </si>
  <si>
    <t>Costo de servicio de salud (seguimiento de PTMI) por visita</t>
  </si>
  <si>
    <t xml:space="preserve">Costo total de servicio de salud para PTMI </t>
  </si>
  <si>
    <t>Costo unitario de la prueba de sífilis (tamizaje)</t>
  </si>
  <si>
    <t xml:space="preserve">Madre en TARV: Costo de medicamento por niño/a </t>
  </si>
  <si>
    <r>
      <t xml:space="preserve">1) Introduzca los datos/unidades solo en las celdas sombreadas en AZUL 
2) El costo unitario para ARVs y pruebas de laboratorio para cada país están disponibles en </t>
    </r>
    <r>
      <rPr>
        <b/>
        <sz val="12"/>
        <color indexed="12"/>
        <rFont val="Tw Cen MT"/>
        <family val="2"/>
      </rPr>
      <t>http://www.who.int/hiv/amds/gprm/en/index.html</t>
    </r>
    <r>
      <rPr>
        <b/>
        <sz val="12"/>
        <rFont val="Tw Cen MT"/>
        <family val="2"/>
      </rPr>
      <t xml:space="preserve"> (WHO Global price reporting mechanism - Mecanismo mundial de reporte de precios de la OMS)
3) El costo unitario de los servicios de salud para cada país está disponible en </t>
    </r>
    <r>
      <rPr>
        <b/>
        <sz val="12"/>
        <color indexed="12"/>
        <rFont val="Tw Cen MT"/>
        <family val="2"/>
      </rPr>
      <t>http://www.who.int/choice/costs/en/index.html</t>
    </r>
    <r>
      <rPr>
        <b/>
        <sz val="12"/>
        <rFont val="Tw Cen MT"/>
        <family val="2"/>
      </rPr>
      <t xml:space="preserve"> (Choosing interventions that are cost effective WHO-CHOICE - Selección de intervenciones costo-efectivas de la OMS )
4) Costos presentados en USD
Para más información, por favor contacten con el Dr. Raúl González en </t>
    </r>
    <r>
      <rPr>
        <b/>
        <sz val="12"/>
        <color indexed="12"/>
        <rFont val="Tw Cen MT"/>
        <family val="2"/>
      </rPr>
      <t>gonzalra@paho.org</t>
    </r>
  </si>
  <si>
    <t>Costo total de prueba de sífilis para parejas de mujeres embarazadas seropositivas a sífilis.</t>
  </si>
  <si>
    <t>Costo unitario de bencilpenicilina /2.4 millones de unidades</t>
  </si>
  <si>
    <t>Costo total de tratamiento para mujeres embarazadas seropositivas (3 dosis)</t>
  </si>
  <si>
    <t>Costo total de tratamiento para parejas de mujeres embarazadas seropositivas (1 dosis)</t>
  </si>
  <si>
    <t>Costo unitario de bencilpenicilina/150 000 unidades (niños/as &lt;12 meses expuestos)</t>
  </si>
  <si>
    <t>Costo total de tratamiento para niños/as &lt;12 meses nacidos de mujeres seropositivas a sífilis.</t>
  </si>
  <si>
    <t>Costo total de diagnóstico para niños/as &lt;12 meses nacidos de madres seropositivas a sífilis (prueba serológica x 3 veces)</t>
  </si>
  <si>
    <t>Costo total de prevención de sífilis congénita</t>
  </si>
  <si>
    <t>Costo unitario de ARV</t>
  </si>
  <si>
    <t xml:space="preserve">Costo total de prueba de VIH para niños/as expuestos cuya madre no accedió a servicios de PTMI </t>
  </si>
  <si>
    <t>Costo unitario de prueba CD4</t>
  </si>
  <si>
    <t xml:space="preserve">Costo unitario de carga viral </t>
  </si>
  <si>
    <t>Costo total de prueba CD4 inicial y carga viral para niños/as con VIH</t>
  </si>
  <si>
    <t xml:space="preserve">Costo unitario de consejería para cuidadores de niños/as con VIH </t>
  </si>
  <si>
    <t xml:space="preserve">Costo total de consejería para cuidadores de niños/as con VIH </t>
  </si>
  <si>
    <t>Costo adicional por fracaso terapéutico</t>
  </si>
  <si>
    <t>Años para que todos los niños/as estén en 2ª línea</t>
  </si>
  <si>
    <t>Costo en el caso que todos los niños/as cambien a 2ª línea</t>
  </si>
  <si>
    <t>Costo en el caso de que no todos los niños/as cambien a 2ª línea antes del final del periodo de tratamiento pediátrico</t>
  </si>
  <si>
    <t>(costos en USD)</t>
  </si>
  <si>
    <t>16) También se realizó la prueba de sífilis a las parejas de mujeres seropositivas para sífilis.</t>
  </si>
  <si>
    <t>20) Las parejas de mujeres seropositivas fueron tratadas con bencilpenicilina /2.4 millones de unidades x 1 dosis.</t>
  </si>
  <si>
    <t>Costo de monitoreo de laboratorio por niño/a y año</t>
  </si>
  <si>
    <r>
      <t>Costo de monitoreo de laboratorio por año por caso continuado
si no hay datos disponibles, introduzca $190</t>
    </r>
    <r>
      <rPr>
        <vertAlign val="superscript"/>
        <sz val="11"/>
        <color indexed="8"/>
        <rFont val="Tw Cen MT"/>
        <family val="2"/>
      </rPr>
      <t xml:space="preserve">15 </t>
    </r>
  </si>
  <si>
    <t>3ª semana y 4ª semana</t>
  </si>
  <si>
    <t>50mL x 7 veces al día x 7días</t>
  </si>
  <si>
    <t>100 mL x 6 veces al día x 7días</t>
  </si>
  <si>
    <t>100 mL x 6 veces al día x 14 días</t>
  </si>
  <si>
    <t>150 mL x 5 veces al día x 30 días</t>
  </si>
  <si>
    <t>200 mL x 5 veces al día x 60 días</t>
  </si>
  <si>
    <t>200 mL x 3 veces al día x 180 días</t>
  </si>
  <si>
    <t xml:space="preserve">Unidades totales (pastillas o mL) necesarias para niños/as de 3-6kg (0-4 meses)
 4 meses </t>
  </si>
  <si>
    <t>Unidades totales incluyendo desechados</t>
  </si>
  <si>
    <r>
      <t>P</t>
    </r>
    <r>
      <rPr>
        <sz val="11"/>
        <color indexed="8"/>
        <rFont val="Tw Cen MT"/>
        <family val="2"/>
      </rPr>
      <t>ara optimizar el uso de la herramienta, se ha concebido un escenario ideal (</t>
    </r>
    <r>
      <rPr>
        <i/>
        <sz val="11"/>
        <color indexed="8"/>
        <rFont val="Tw Cen MT"/>
        <family val="2"/>
      </rPr>
      <t>Escenario Objetivo</t>
    </r>
    <r>
      <rPr>
        <sz val="11"/>
        <color indexed="8"/>
        <rFont val="Tw Cen MT"/>
        <family val="2"/>
      </rPr>
      <t>), teniendo en cuenta la práctica en América Latina y el Caribe, en los que todos los elementos de la IE se implementan en su extensión máxima (y así será el costo). La herramienta puede comparar el escenario actual (</t>
    </r>
    <r>
      <rPr>
        <i/>
        <sz val="11"/>
        <color indexed="8"/>
        <rFont val="Tw Cen MT"/>
        <family val="2"/>
      </rPr>
      <t>Escenario Actual con datos de CPN</t>
    </r>
    <r>
      <rPr>
        <sz val="11"/>
        <color indexed="8"/>
        <rFont val="Tw Cen MT"/>
        <family val="2"/>
      </rPr>
      <t xml:space="preserve">, si se dispone de información adecuada de control prenatal o </t>
    </r>
    <r>
      <rPr>
        <i/>
        <sz val="11"/>
        <color indexed="8"/>
        <rFont val="Tw Cen MT"/>
        <family val="2"/>
      </rPr>
      <t>Escenario Actual sin datos de CPN</t>
    </r>
    <r>
      <rPr>
        <sz val="11"/>
        <color indexed="8"/>
        <rFont val="Tw Cen MT"/>
        <family val="2"/>
      </rPr>
      <t>, si no se dispone de dicha información), el escenario objetivo a medio plazo (por ejemplo, 80% de cobertura) (</t>
    </r>
    <r>
      <rPr>
        <i/>
        <sz val="11"/>
        <color indexed="8"/>
        <rFont val="Tw Cen MT"/>
        <family val="2"/>
      </rPr>
      <t>Escenarios Intermedios 2 y 3</t>
    </r>
    <r>
      <rPr>
        <sz val="11"/>
        <color indexed="8"/>
        <rFont val="Tw Cen MT"/>
        <family val="2"/>
      </rPr>
      <t>) y el escenario ideal/objetivo (cobertura del 95% o 100%). Si no se dispone de datos adecuados de CPN o éstos no son fiables se sugiere el uso de la columna "</t>
    </r>
    <r>
      <rPr>
        <i/>
        <sz val="11"/>
        <color indexed="8"/>
        <rFont val="Tw Cen MT"/>
        <family val="2"/>
      </rPr>
      <t>Escenario actual sin datos de CPN</t>
    </r>
    <r>
      <rPr>
        <sz val="11"/>
        <color indexed="8"/>
        <rFont val="Tw Cen MT"/>
        <family val="2"/>
      </rPr>
      <t xml:space="preserve">" para el escenario actual. La herramienta de costeo permite realizar estimaciones en el escenario actual de los países ingresando los datos de cobertura de testeo y tratamiento, minimizando el impacto de la asistencia a servicios de atención prenatal. </t>
    </r>
  </si>
  <si>
    <t xml:space="preserve">Costo total de ARV por niño/a durante el periodo con peso de10-14 kg </t>
  </si>
  <si>
    <t xml:space="preserve">Costo total de ARV por niño/a durante el periodo con peso de 6-10 kg </t>
  </si>
  <si>
    <t xml:space="preserve">Costo total de ARV por niño/a durante el periodo con peso de 14-20 kg </t>
  </si>
  <si>
    <t>1) Mujeres embarazadas elegibles para TARV para su propia salud</t>
  </si>
  <si>
    <t xml:space="preserve">Costo de una prueba confirmatoria de VIH por caso </t>
  </si>
  <si>
    <t xml:space="preserve">Costo unitario para carga viral </t>
  </si>
  <si>
    <t xml:space="preserve">Costo unitario de ARVs </t>
  </si>
  <si>
    <t>Costo de profilaxis con Trimetroprim sulfametoxazol (co-trimoxazole) hasta 18 meses (por niño/a &lt;12 meses expuesto)</t>
  </si>
  <si>
    <t>Costo unitario de  bencilpenicilina /2.4 millones de unidades</t>
  </si>
  <si>
    <t>Costo unitario de prueba de sífilis (diagnóstico para niños/as &lt;12 meses)</t>
  </si>
  <si>
    <t>Número esperado de niños/as infectados a través de transmisión maternoinfantil cuya madre accedió a servicios de atención prenatal, se realizó la prueba del VIH y recibió TARV</t>
  </si>
  <si>
    <r>
      <t xml:space="preserve">Número esperado de niños/as infectados a través de transmisión maternoinfantil cuya madre accedió a servicios de atención prenatal y se realizó la prueba del VIH pero </t>
    </r>
    <r>
      <rPr>
        <b/>
        <sz val="11"/>
        <color indexed="8"/>
        <rFont val="Tw Cen MT"/>
        <family val="2"/>
      </rPr>
      <t>no</t>
    </r>
    <r>
      <rPr>
        <sz val="11"/>
        <color indexed="8"/>
        <rFont val="Tw Cen MT"/>
        <family val="2"/>
      </rPr>
      <t xml:space="preserve"> recibió profilaxis con TARV</t>
    </r>
  </si>
  <si>
    <t>Número esperado de niños/as infectados a través de transmisión maternoinfantil cuya madre accedió a servicios de atención prenatal pero no se realizó la prueba de VIH o no accedió a servicios de atención prenatal ni se hizo la prueba de VIH</t>
  </si>
  <si>
    <t>Madre en TARV: Costo de medicamento por madre en AZT+3TC+NVP</t>
  </si>
  <si>
    <t>3. PAHO, Regional initiative for elimination of mother-to-child transmission of HIV and congenital syphilis in Latin America and the Caribbean: concept document for the Caribbean. 2010, PAHO HIV Caribbean Office (PHCO): Port of Spain, Trinidad &amp; Tobago.</t>
  </si>
  <si>
    <t>Diferencia de costo entre regímenes de 1ª Y 2ª líneas (por persona por año)</t>
  </si>
  <si>
    <r>
      <t>R</t>
    </r>
    <r>
      <rPr>
        <sz val="12"/>
        <rFont val="Tw Cen MT"/>
        <family val="2"/>
      </rPr>
      <t>eferences</t>
    </r>
  </si>
  <si>
    <t xml:space="preserve">Tasa esperada de transmisión del VIH sin intervención (mujeres con CD4 &gt; 350)
 (15 % + lactancia materna) </t>
  </si>
  <si>
    <t xml:space="preserve">Tasa esperada de transmisión del VIH sin intervención (mujeres con CD4 &lt; 350)
 (32 % + lactancia materna)  </t>
  </si>
  <si>
    <t>El gasto inicial calculado responde a la inversión de recursos necesaria para cubrir la mayor parte de los componentes de prevención de la transmisión maternoinfantil del VIH y de la sífilis congénita en un año (o en el periodo de tiempo definido). El ahorro resultante corresponde al gasto evitado en atención y tratamiento de los niños/as  que resultan infectados por falta de intervención durante sus primeros 15 años de vida.</t>
  </si>
  <si>
    <r>
      <t>E</t>
    </r>
    <r>
      <rPr>
        <sz val="11"/>
        <rFont val="Tw Cen MT"/>
        <family val="2"/>
      </rPr>
      <t xml:space="preserve">sta herramienta no es un instrumento de modelaje para calcular la tasa de transmisión, por lo que no debe usarse con este propósito. Podrían observarse ciertas discrepancias con herramientas que modelan específicamente la tasa de transmisión. </t>
    </r>
  </si>
  <si>
    <t>6) Las mujeres embarazadas con VIH que no necesitan tratamiento para su propia salud comenzaron la triple profilaxis antirretroviral (AZT+3TC+LPV/r) a partir de la semana 14 de gestación y la continuaron hasta el parto</t>
  </si>
  <si>
    <t>6. WHO, Antiretroviral therapy for HIV infection in infants and children: towards universal access, recommendations for a public health approach 2010 version. 2010, WHO: Geneva, Switzerland.</t>
  </si>
  <si>
    <t>7. WHO, Guidelines on co-trimoxazole prophylaxis for HIV-related infections among children, adolescents and adults : recommendations for a public health approach. 2006, WHO: Geneva, Switzerland.</t>
  </si>
  <si>
    <t>9. Mofenson LM, Protecting the next generation--eliminating perinatal HIV-1 infection. New England Journal of Medicine, 2010. 362(24): p. 2316-18.</t>
  </si>
  <si>
    <t>11. WHO, Investment case for eliminating congenital syphilis: promoting better maternal and child health &amp; stronger health systems (unpublished data, DRAFT)   2010.</t>
  </si>
  <si>
    <r>
      <t xml:space="preserve">Volumen de </t>
    </r>
    <r>
      <rPr>
        <sz val="11"/>
        <rFont val="Tw Cen MT"/>
        <family val="2"/>
      </rPr>
      <t>fórmula a</t>
    </r>
    <r>
      <rPr>
        <sz val="11"/>
        <color indexed="8"/>
        <rFont val="Tw Cen MT"/>
        <family val="2"/>
      </rPr>
      <t>daptada por lata (g)</t>
    </r>
  </si>
  <si>
    <t>Introduzca el porcentaje basándose en datos disponibles del país, o mantenga 40% como valor por defecto</t>
  </si>
  <si>
    <t>Porcentaje de mujeres embarazadas que se han realizado la prueba de sífilis (%)</t>
  </si>
  <si>
    <t xml:space="preserve">Prueba de VIH, CD4 y carga viral </t>
  </si>
  <si>
    <t>Número total de pérdidas de fetos y mortinatos por sífilis evitados</t>
  </si>
  <si>
    <t>Número total de muertes perinatales por sífilis evitadas</t>
  </si>
  <si>
    <r>
      <t xml:space="preserve">Tasa esperada de transmisión del VIH con intervención en embarazadas con TARV previo al embarazo:  0.5%
 (Se asume que </t>
    </r>
    <r>
      <rPr>
        <b/>
        <sz val="11"/>
        <color indexed="8"/>
        <rFont val="Tw Cen MT"/>
        <family val="2"/>
      </rPr>
      <t>no</t>
    </r>
    <r>
      <rPr>
        <sz val="11"/>
        <color indexed="8"/>
        <rFont val="Tw Cen MT"/>
        <family val="2"/>
      </rPr>
      <t xml:space="preserve"> hay lactancia materna) </t>
    </r>
  </si>
  <si>
    <t>Mujeres embarazadas que tienen diagnóstico de VIH previo a la gestación actual y reciben TARV (%)</t>
  </si>
  <si>
    <t>Porcentaje de mujeres embarazadas con resultado positivo a la prueba de VIH durante el CPN que recibieron TARV (%)</t>
  </si>
  <si>
    <t>Número total de casos de prematuridad o bajo peso al nacer por sífilis evitados</t>
  </si>
  <si>
    <t>Tablas resumen</t>
  </si>
  <si>
    <t>Servicios de salud</t>
  </si>
  <si>
    <t>Sin acceso a PTMI</t>
  </si>
  <si>
    <t>Tratamiento de VIH pediátrico</t>
  </si>
  <si>
    <t>Ahorro total en PTMI*</t>
  </si>
  <si>
    <t>Ahorro total en PTMI</t>
  </si>
  <si>
    <t>Costo por infección de VIH evitada</t>
  </si>
  <si>
    <t>Costo total de PTMI</t>
  </si>
  <si>
    <t xml:space="preserve"> *(costo medio de tratamiento pediátrico) x (Nº de infecciones evitadas) - (Costo total de PTMI)</t>
  </si>
  <si>
    <t>Madre no elegible para TARV</t>
  </si>
  <si>
    <t>NVP 10mg/mL</t>
  </si>
  <si>
    <t>Unidades totales (pastillas/mL) necesitadas</t>
  </si>
  <si>
    <t>Escenario Objetivo</t>
  </si>
  <si>
    <t>Escenario intermedio 1º</t>
  </si>
  <si>
    <t>Escenario intermedio 2º</t>
  </si>
  <si>
    <t>Escenario actual sin datos de CPN</t>
  </si>
  <si>
    <t>NVP (10mg/mL) 15 mg una vez al día (peso al nacer &gt;2500g) desde el nacimiento hasta las 6 semanas de vida</t>
  </si>
  <si>
    <t>mL</t>
  </si>
  <si>
    <t xml:space="preserve">Frasco de 100 mL </t>
  </si>
  <si>
    <t xml:space="preserve">AZT (10mg/mL) 15 mg por dosis dos veces al día (peso al nacer &gt;2500g) desde el nacimiento hasta las 6 semanas de vida </t>
  </si>
  <si>
    <t xml:space="preserve">Frasco de 200 mL </t>
  </si>
  <si>
    <t>NVP (10mg/mL) 15 mg una vez al día desde el nacimiento hasta las 6 semanas de vida</t>
  </si>
  <si>
    <t>AZT (10mg/mL) 15 mg por dosis dos veces al día desde el nacimiento hasta las 6 semanas de vida</t>
  </si>
  <si>
    <t>Costos por mujer embarazada con VIH y su hijo/a expuesto</t>
  </si>
  <si>
    <t>Acceso a PTMI CON exposición previa a NVP</t>
  </si>
  <si>
    <t>Acceso a PTMI SIN exposición previa a NVP</t>
  </si>
  <si>
    <t>Porcentaje de mujeres embarazadas que tienen diagnóstico de VIH previo a la gestación y están recibiendo TARV. Se asume que estas mujeres tuvieron acceso a CPN y a servicios de PTMI</t>
  </si>
  <si>
    <t>Introduzca la descripción del escenario (e.j. 90% cobertura de prueba de HIV,  90% cobertura de ARV para PTMI)</t>
  </si>
  <si>
    <t>Medicamentos desechados (%)</t>
  </si>
  <si>
    <t>Porcentaje de mujeres embarazadas con VIH elegibles para TARV o que ya están en TARV (%)</t>
  </si>
  <si>
    <r>
      <t xml:space="preserve">Periodo de provisión de </t>
    </r>
    <r>
      <rPr>
        <sz val="11"/>
        <rFont val="Tw Cen MT"/>
        <family val="2"/>
      </rPr>
      <t>sucedáneo de leche</t>
    </r>
    <r>
      <rPr>
        <sz val="11"/>
        <color indexed="8"/>
        <rFont val="Tw Cen MT"/>
        <family val="2"/>
      </rPr>
      <t xml:space="preserve"> para madres con VIH</t>
    </r>
  </si>
  <si>
    <t>Porcentaje de mujeres embarazadas con sífilis gestacional que recibieron tratamiento a las 24 semanas de embarazo (%)</t>
  </si>
  <si>
    <t>Medicamentos desechados(%)</t>
  </si>
  <si>
    <t>Niños/as cuyas madres accedieron a servicios de PTMI</t>
  </si>
  <si>
    <t>Costo total en fórmula adaptada para los niños/as que accedieron a los servicios</t>
  </si>
  <si>
    <t>Tratamiento de la infección por VIH en niños/as</t>
  </si>
  <si>
    <t>Costo unitario de carga viral</t>
  </si>
  <si>
    <t xml:space="preserve">Niños/as cuyas madres accedieron a servicios de PTMI </t>
  </si>
  <si>
    <t>Número de niños/as con exposición a NVP - madre con TARV</t>
  </si>
  <si>
    <t>Costo total del tratamiento</t>
  </si>
  <si>
    <t xml:space="preserve">13) Se realizó dos veces la prueba virológica y una vez la prueba serológica a los niños/as &lt; 12 meses expuestos </t>
  </si>
  <si>
    <t>Porcentaje de mujeres elegibles para TARV que están en AZT+3TC+NVP (%)</t>
  </si>
  <si>
    <t>De entre las mujeres que son elegibles para TARV, porcentaje de mujeres que inician AZT+3TC+NVP</t>
  </si>
  <si>
    <t>Número total de infecciones neonatales graves por sífilis evitadas</t>
  </si>
  <si>
    <t xml:space="preserve">Niños/as cuyas madres no accedieron a servicios de PTMI </t>
  </si>
  <si>
    <t xml:space="preserve">Número de niños/as cuyas madres no accedieron a servicios de PTMI </t>
  </si>
  <si>
    <t>Otros costos relacionados con tratamiento de VIH pediátrico</t>
  </si>
  <si>
    <t>Costo de monitoreo de laboratorio por año y por niño/a</t>
  </si>
  <si>
    <t>Costo de tratamiento por niño/a</t>
  </si>
  <si>
    <t xml:space="preserve">Costo de servicio de salud (consulta externa) por visita </t>
  </si>
  <si>
    <t>Costo total de monitoreo de laboratorio para niños/as infectados</t>
  </si>
  <si>
    <t>Costos totales de tratamiento de VIH pediátrico</t>
  </si>
  <si>
    <t>Costo por caso de sífilis congénita evitado</t>
  </si>
  <si>
    <t>Costo de profilaxis con trimetroprim sulfametoxazol por niño/a durante 5 años</t>
  </si>
  <si>
    <t>Costo total de servicio de salud por año por niño/a</t>
  </si>
  <si>
    <t>Costo total de servicio de salud (consulta externa) para niños/as infectados</t>
  </si>
  <si>
    <t>TARV</t>
  </si>
  <si>
    <r>
      <t xml:space="preserve">En esta herramienta </t>
    </r>
    <r>
      <rPr>
        <u val="single"/>
        <sz val="11"/>
        <rFont val="Tw Cen MT"/>
        <family val="2"/>
      </rPr>
      <t>sólo</t>
    </r>
    <r>
      <rPr>
        <sz val="11"/>
        <rFont val="Tw Cen MT"/>
        <family val="2"/>
      </rPr>
      <t xml:space="preserve"> se consideran en tratamiento a aquellas mujeres embarazadas que reciben 3 fármacos ARV, por lo tanto, si en el país todavía se hace uso de monoterapias o biterapias, estos casos deben ser considerados como </t>
    </r>
    <r>
      <rPr>
        <b/>
        <sz val="11"/>
        <rFont val="Tw Cen MT"/>
        <family val="2"/>
      </rPr>
      <t>no tratados</t>
    </r>
    <r>
      <rPr>
        <sz val="11"/>
        <rFont val="Tw Cen MT"/>
        <family val="2"/>
      </rPr>
      <t>, y deben descontarse del porcentaje de mujeres embarazadas con cobertura TARV</t>
    </r>
  </si>
  <si>
    <t>Número total de infecciones por VIH evitadas (niños/as protegidos de TMI)</t>
  </si>
  <si>
    <t>Número total de mujeres embarazadas con VIH identificadas y remitidas para TARV</t>
  </si>
  <si>
    <t>1. Acerca de esta Herramienta</t>
  </si>
  <si>
    <r>
      <t>2.</t>
    </r>
    <r>
      <rPr>
        <sz val="12"/>
        <color indexed="8"/>
        <rFont val="Tw Cen MT"/>
        <family val="2"/>
      </rPr>
      <t xml:space="preserve"> </t>
    </r>
    <r>
      <rPr>
        <b/>
        <sz val="12"/>
        <color indexed="8"/>
        <rFont val="Tw Cen MT"/>
        <family val="2"/>
      </rPr>
      <t>Instrucciones</t>
    </r>
    <r>
      <rPr>
        <sz val="12"/>
        <color indexed="8"/>
        <rFont val="Tw Cen MT"/>
        <family val="2"/>
      </rPr>
      <t xml:space="preserve"> de uso de la herramienta</t>
    </r>
  </si>
  <si>
    <r>
      <t xml:space="preserve">3. Herramienta de costeo </t>
    </r>
    <r>
      <rPr>
        <sz val="12"/>
        <color indexed="8"/>
        <rFont val="Tw Cen MT"/>
        <family val="2"/>
      </rPr>
      <t>para calcular y estimar los costos</t>
    </r>
  </si>
  <si>
    <t>4. Tablas resumen de los costos estimados</t>
  </si>
  <si>
    <r>
      <t>5. Gráficos resumen</t>
    </r>
    <r>
      <rPr>
        <sz val="12"/>
        <color indexed="8"/>
        <rFont val="Tw Cen MT"/>
        <family val="2"/>
      </rPr>
      <t xml:space="preserve"> de los principales resultados</t>
    </r>
  </si>
  <si>
    <r>
      <t>7. Costo de alimentación de sustitución,</t>
    </r>
    <r>
      <rPr>
        <sz val="12"/>
        <color indexed="8"/>
        <rFont val="Tw Cen MT"/>
        <family val="2"/>
      </rPr>
      <t xml:space="preserve"> información detallada sobre la estimación de costo de alimentación de sustitución</t>
    </r>
  </si>
  <si>
    <r>
      <t>9.</t>
    </r>
    <r>
      <rPr>
        <sz val="12"/>
        <color indexed="8"/>
        <rFont val="Tw Cen MT"/>
        <family val="2"/>
      </rPr>
      <t xml:space="preserve"> </t>
    </r>
    <r>
      <rPr>
        <b/>
        <sz val="12"/>
        <color indexed="8"/>
        <rFont val="Tw Cen MT"/>
        <family val="2"/>
      </rPr>
      <t xml:space="preserve">Referencias </t>
    </r>
    <r>
      <rPr>
        <sz val="12"/>
        <color indexed="8"/>
        <rFont val="Tw Cen MT"/>
        <family val="2"/>
      </rPr>
      <t>para el desarrollo del modelo de esta herramienta</t>
    </r>
  </si>
  <si>
    <t>Madre en TARV: Costo de medicamento por madre en AZT+3TC+LPV/r</t>
  </si>
  <si>
    <t>Otros costos para PTMI</t>
  </si>
  <si>
    <t>Costo medio del tratamiento pediátrico por niño/a (costo de tratamiento pediátrico/Nº de niños/as infectados)</t>
  </si>
  <si>
    <t>Costo por infección evitada (costo de PTMI/Nº de infecciones evitadas)</t>
  </si>
  <si>
    <t>Diferencia de costo entre cesárea y parto vaginal</t>
  </si>
  <si>
    <t>TOTAL (costo de PTMI + costo de prevención de sífilis congénita + costo de tratamiento de VIH pediátrico)</t>
  </si>
  <si>
    <t>Ahorro total (costo medio de tratamiento pediátrico x Nº de infecciones evitadas - costo total de PTMI)</t>
  </si>
  <si>
    <t>3TC</t>
  </si>
  <si>
    <t>Lamivudina</t>
  </si>
  <si>
    <t>ABC</t>
  </si>
  <si>
    <t>Abacavir</t>
  </si>
  <si>
    <t>ALC</t>
  </si>
  <si>
    <t>América Latina y el Caribe</t>
  </si>
  <si>
    <t>ARV</t>
  </si>
  <si>
    <t>Antirretroviral</t>
  </si>
  <si>
    <t>AZT</t>
  </si>
  <si>
    <t>Azidotimidina (zidovudina)</t>
  </si>
  <si>
    <t>CPN</t>
  </si>
  <si>
    <t>Control prenatal</t>
  </si>
  <si>
    <t>CTEI</t>
  </si>
  <si>
    <t>Costing Tool for the Elimination Iniciative (Herramienta de Costeo para la Iniciativa de Eliminación)</t>
  </si>
  <si>
    <t>CTX</t>
  </si>
  <si>
    <t>Cotrimoxazol (trimetoprim sulfametoxazol)</t>
  </si>
  <si>
    <t>CV</t>
  </si>
  <si>
    <t>Carga viral</t>
  </si>
  <si>
    <t>EFV</t>
  </si>
  <si>
    <t>Efavirenz</t>
  </si>
  <si>
    <t>FCH</t>
  </si>
  <si>
    <t>Family and Child Health (Área de Salud Familiar y Comunitaria)</t>
  </si>
  <si>
    <t>FTC</t>
  </si>
  <si>
    <t>Emtricitabina</t>
  </si>
  <si>
    <t>IE</t>
  </si>
  <si>
    <t>Iniciativa Regional para la Eliminacián de la transmisión maternoinfantil del VIH y de la sífilis congénita en América Latina y el Caribe</t>
  </si>
  <si>
    <t>LPV/r</t>
  </si>
  <si>
    <t>Lopinavir / ritonavir</t>
  </si>
  <si>
    <t>NCGM</t>
  </si>
  <si>
    <t>National Center for Global Health and Medicine</t>
  </si>
  <si>
    <t>NVP</t>
  </si>
  <si>
    <t>Nevirapina</t>
  </si>
  <si>
    <t>OMS</t>
  </si>
  <si>
    <t>Organizacián Mundial de la Salud</t>
  </si>
  <si>
    <t>OPS</t>
  </si>
  <si>
    <t>Organizacián Panamericana de la Salud</t>
  </si>
  <si>
    <t>PCV</t>
  </si>
  <si>
    <t>Prueba y Consejería Voluntarias</t>
  </si>
  <si>
    <t>Prevención de la transmisión maternoinfantil</t>
  </si>
  <si>
    <t>Tratamiento antirretroviral</t>
  </si>
  <si>
    <t>TDF</t>
  </si>
  <si>
    <t>Tenofovir</t>
  </si>
  <si>
    <t>USD</t>
  </si>
  <si>
    <t>United States Dollar (Dólar de los Estados Unidos)</t>
  </si>
  <si>
    <t>VIH</t>
  </si>
  <si>
    <t>Virus de la inmunodeficiencia humana</t>
  </si>
  <si>
    <t>WHO</t>
  </si>
  <si>
    <t>World Health Organization (Organización Mundial de la Salud)</t>
  </si>
  <si>
    <r>
      <t>A</t>
    </r>
    <r>
      <rPr>
        <sz val="11"/>
        <rFont val="Tw Cen MT"/>
        <family val="2"/>
      </rPr>
      <t>crónimos</t>
    </r>
  </si>
  <si>
    <r>
      <t>Guías</t>
    </r>
    <r>
      <rPr>
        <sz val="11"/>
        <color indexed="8"/>
        <rFont val="Tw Cen MT"/>
        <family val="2"/>
      </rPr>
      <t xml:space="preserve">
4. WHO, Antiretroviral drugs for treating pregnant women and preventing HIV infections in infants: recommendations for a public health approach. 2010, WHO: Geneva, Switzerland.</t>
    </r>
  </si>
  <si>
    <r>
      <t xml:space="preserve">Tasas de transmisión y resultados
</t>
    </r>
    <r>
      <rPr>
        <sz val="11"/>
        <color indexed="8"/>
        <rFont val="Tw Cen MT"/>
        <family val="2"/>
      </rPr>
      <t>8. De Cock KM, et al., Prevention of mother-to-child HIV transmission in resource-poor countries: translating research into policy and practice. JAMA, 2000. 283(9): p. 1175-82.</t>
    </r>
  </si>
  <si>
    <r>
      <t>13. WHO. Choosing interventions that are cost effective (WHO-CHOICE).  2010. Disponible en http://www.who.int/c</t>
    </r>
    <r>
      <rPr>
        <sz val="11"/>
        <rFont val="Arial"/>
        <family val="0"/>
      </rPr>
      <t xml:space="preserve">hoice/costs/en/index.html
</t>
    </r>
  </si>
  <si>
    <t>Lactancia materna en población general (media en MESES)</t>
  </si>
  <si>
    <r>
      <t xml:space="preserve">Tasa esperada de transmisión del VIH con intervención en embarazadas con diagnóstico durante el embarazo:  2%
 (Se asume que </t>
    </r>
    <r>
      <rPr>
        <b/>
        <sz val="11"/>
        <color indexed="8"/>
        <rFont val="Tw Cen MT"/>
        <family val="2"/>
      </rPr>
      <t>no</t>
    </r>
    <r>
      <rPr>
        <sz val="11"/>
        <color indexed="8"/>
        <rFont val="Tw Cen MT"/>
        <family val="2"/>
      </rPr>
      <t xml:space="preserve"> hay lactancia materna) </t>
    </r>
  </si>
  <si>
    <t>Tasa Total de Transmisión MaternoInfantil</t>
  </si>
  <si>
    <r>
      <t>16. WHO y UNICEF, Co-trimoxazole prophylaxis for HIV-exposed and HIV-infected infants and children: Practical approa</t>
    </r>
    <r>
      <rPr>
        <i/>
        <sz val="11"/>
        <rFont val="Tw Cen MT"/>
        <family val="2"/>
      </rPr>
      <t>ches to implementation and scale up. 2009, WHO: Geneva, Switzerland.</t>
    </r>
  </si>
  <si>
    <t>Costo de los medicamentos para los niños/as de las madres que accedieron a los servicios de atención prenatal</t>
  </si>
  <si>
    <t>Madre en TARV: Costo de medicamentos de las mujeres que accedieron a los servicios de atención prenatal</t>
  </si>
  <si>
    <t>Madre en TARV: Costo total de medicamento para niños/as de madres que accedieron a los servicios de atención prenatal</t>
  </si>
  <si>
    <r>
      <t>Cobertura de prueba de sífilis entre mujeres embarazadas que accedieron a servicios de atención prenatal 
* para el '</t>
    </r>
    <r>
      <rPr>
        <i/>
        <sz val="11"/>
        <rFont val="Tw Cen MT"/>
        <family val="2"/>
      </rPr>
      <t>escenario actua sin datos de CPN</t>
    </r>
    <r>
      <rPr>
        <sz val="11"/>
        <rFont val="Tw Cen MT"/>
        <family val="2"/>
      </rPr>
      <t>', introduzca la cobertura de prueba de sífilis, independientemente de la asistencia a servicios de atención prenatal</t>
    </r>
  </si>
  <si>
    <r>
      <t>Cobertura de tratamiento de sífilis gestacional entre mujeres embarazadas que acudieron a servicios de atención prenatal y se realizaron la prueba de sífilis 
* para el '</t>
    </r>
    <r>
      <rPr>
        <i/>
        <sz val="11"/>
        <rFont val="Tw Cen MT"/>
        <family val="2"/>
      </rPr>
      <t>escenario actual sin datos de CPN</t>
    </r>
    <r>
      <rPr>
        <sz val="11"/>
        <rFont val="Tw Cen MT"/>
        <family val="2"/>
      </rPr>
      <t>', introduzca la cobertura de tratamiento para mujeres que se realizaron la prueba y tuvieron resultados positivos, independientemente de la asistencia a servicios de atención prenatal</t>
    </r>
  </si>
  <si>
    <t xml:space="preserve">Número total de niños/as infectados con VIH a través de transmisión maternoinfantil </t>
  </si>
  <si>
    <r>
      <t>Plan y marco estratégico para la Iniciativa de Eliminación</t>
    </r>
    <r>
      <rPr>
        <sz val="11"/>
        <color indexed="8"/>
        <rFont val="Calibri"/>
        <family val="2"/>
      </rPr>
      <t xml:space="preserve">
</t>
    </r>
    <r>
      <rPr>
        <sz val="11"/>
        <color indexed="8"/>
        <rFont val="Tw Cen MT"/>
        <family val="2"/>
      </rPr>
      <t>1. WHO, PMTCT strategic vision 2010-2015: preventing mother-to-child transmission of HIV to reach the UNGASS and Millennium Development Goals - Moving towards the elimination of paediatric HIV. 2009, WHO: Geneva, Switzerland.</t>
    </r>
    <r>
      <rPr>
        <sz val="11"/>
        <color indexed="8"/>
        <rFont val="Calibri"/>
        <family val="2"/>
      </rPr>
      <t xml:space="preserve">
</t>
    </r>
  </si>
  <si>
    <r>
      <t>14. WHO, Transaction prices for antiretrovira</t>
    </r>
    <r>
      <rPr>
        <sz val="11"/>
        <color indexed="63"/>
        <rFont val="Calibri"/>
        <family val="2"/>
      </rPr>
      <t xml:space="preserve">l </t>
    </r>
    <r>
      <rPr>
        <sz val="11"/>
        <color indexed="63"/>
        <rFont val="Tw Cen MT"/>
        <family val="2"/>
      </rPr>
      <t>medicines and HIV diagnostics from 2008 to March 2010: A summary report from the global price reporting mechanism. 2010: Geneva, Switzerland.</t>
    </r>
  </si>
  <si>
    <t>15. Stover John, Bollinger Lori, and Avila Carlos. Estimating the effects and costs of changing guidelines for ART eligibility.  2009  9 Nov 2010]; Disponible en http://www.who.int/hiv/topics/treatment/costing_stover.pdf</t>
  </si>
  <si>
    <t>Escenario actual con datos de CPN</t>
  </si>
  <si>
    <t>Costos totales por población objetivo</t>
  </si>
  <si>
    <t>Costos de laboratorio</t>
  </si>
  <si>
    <t>Costos de medicamentos</t>
  </si>
  <si>
    <t>Costos por niño/a con VIH</t>
  </si>
  <si>
    <t xml:space="preserve">Costos totales por población objetivo </t>
  </si>
  <si>
    <t xml:space="preserve">Costo del tratamiento por niño/a (hasta 15 años) </t>
  </si>
  <si>
    <t xml:space="preserve">Unidades totales (pastillas o ml) necesarias para niños/as de 6-10 kg (4-12 meses)
 8 meses </t>
  </si>
  <si>
    <t>Costo total de ARV por niño/a</t>
  </si>
  <si>
    <t>Desarrollado por el National Center for Global Health and Medicine (Naoko Ishikawa, Takuro Shimbo, et al.) 
en colaboración con la Organización Panamericana de la Salud / Organización Mundial de la Salud   
© National Center for Global Health and Medicine (NCGM), Tokyo, Japón</t>
  </si>
  <si>
    <r>
      <t>L</t>
    </r>
    <r>
      <rPr>
        <sz val="11"/>
        <color indexed="8"/>
        <rFont val="Tw Cen MT"/>
        <family val="2"/>
      </rPr>
      <t>a herramienta original fue desarrollada por el National Center for Global Health and Medicine (NCGM) de Japón en colaboración con el "Asia-Pacific United Nations Task Force for the Prevention of Parents-to-Child Transmission of HIV" para ser utilizada inicialmente en el contexto de la Región de Asia Pacífico. La herramienta ha sido adaptada al contexto de América Latina y el Caribe (ALC) mediante la colaboración entre el NCGM y el Área de Salud Familiar y Comunitaria (FCH) de la Organización Panamericana de la Salud/Organización Mundial de la Salud (OPS/OMS).</t>
    </r>
  </si>
  <si>
    <t>Prevención de nuevos casos de infecciones de VIH  pediátrico y sífilis congénita (referencias 4,5, y 11)</t>
  </si>
  <si>
    <t>Prevalencia entre mujeres embarazadas; si no estuviera disponible, prevalencia entre adultos (15-49)</t>
  </si>
  <si>
    <t>Tratamiento para infección de VIH pediátrico</t>
  </si>
  <si>
    <t>Régimen seleccionado
1. AZT+3TC+NVP
2. AZT+3TC+LPV/r</t>
  </si>
  <si>
    <t>Niños/as cuyas madres no acudieron a servicios de PTMI</t>
  </si>
  <si>
    <t>Régimen seleccionado
1. AZT+3TC+NVP
2. AZT+3TC+EFV
3. AZT+3TC+LPV/r</t>
  </si>
  <si>
    <t>Número total de infecciones por VIH prevenidas</t>
  </si>
  <si>
    <t>Profilaxis ARV para mujeres embarazadas y niños/as &lt; 12 meses expuestos</t>
  </si>
  <si>
    <t>Pastillas</t>
  </si>
  <si>
    <t>Alimentación de sustitución</t>
  </si>
  <si>
    <t>Duración de alimentación de sustitución (0, 6, 12, 18 meses)</t>
  </si>
  <si>
    <t>EFV+AZT+3TC*</t>
  </si>
  <si>
    <t>NR</t>
  </si>
  <si>
    <t>LPV/r+AZT+3TC</t>
  </si>
  <si>
    <t>no</t>
  </si>
  <si>
    <t>EFV+AZT+3TC</t>
  </si>
  <si>
    <t>Profilaxis ARV para mujeres embarazadas y niños/as expuestos</t>
  </si>
  <si>
    <t>Número de niños/as</t>
  </si>
  <si>
    <t>NR = no recomendado</t>
  </si>
  <si>
    <t xml:space="preserve">Acceso a PTMI </t>
  </si>
  <si>
    <t>Exposición previa a NVP</t>
  </si>
  <si>
    <t xml:space="preserve">Pastillas </t>
  </si>
  <si>
    <t>Medicamento</t>
  </si>
  <si>
    <t>Régimen seleccionado 
1. AZT+3TC+NVP
2. AZT+3TC+LPV/r</t>
  </si>
  <si>
    <t>Número de niños/as sin exposición previa a NVP</t>
  </si>
  <si>
    <t>Número de visitas por año y por niño/a</t>
  </si>
  <si>
    <t>Previsión de medicamentos desechados.</t>
  </si>
  <si>
    <t>Elegible para TARV (AZT/3TC/LPV/r)</t>
  </si>
  <si>
    <t>Elegible para TARV (AZT/3TC/NVP)</t>
  </si>
  <si>
    <t>No elegible para TARV</t>
  </si>
  <si>
    <t>5. OPS, ‘Guía Clínica para la Eliminación de la Transmisión Maternoinfantil del VIH y de la sífilis congénita en América Latina y el Caribe.’ 2011, OPS: Washington DC.</t>
  </si>
  <si>
    <t>2. OPS, Iniciativa regional para la eliminación de la transmisión maternoinfantil del VIH y de la sífilis congénita en América Latina y el Caribe: documento conceptual. 2009: Washington DC.</t>
  </si>
  <si>
    <t>10. WHO, UNAIDS, y UNICEF, Report from the Consultative Meeting on Updating Estimates of Mother-to-Child Transmission Rates of HIV, 1-2 September 2010. 2010: Washington DC.</t>
  </si>
  <si>
    <t>Tasa de fracaso de tratamiento (cambio a régimen de  2ª línea) por año (%)</t>
  </si>
  <si>
    <t>AZT 300 mg/3TC 150 mg dos veces al día</t>
  </si>
  <si>
    <t>AZT 300 mg/3TC 150 mg/NVP 200mg dos veces al día</t>
  </si>
  <si>
    <t xml:space="preserve">DEL COSTEO A LA PLANIFICACIÓN:
HERRAMIENTA DE APOYO A LA INICIATIVA REGIONAL PARA LA ELIMINACIÓN DE LA TRANSMISIÓN MATERNOINFANTIL
DEL VIH Y DE LA SÍFILIS CONGÉNITA EN AMÉRICA LATINA Y EL CARIBE (siglas en inglés CTEI)
</t>
  </si>
  <si>
    <t>LPV/r 200/50 mg 2 pastillas dos veces al día</t>
  </si>
  <si>
    <t>Madre (lactancia materna 12 meses)</t>
  </si>
  <si>
    <t>Unidad</t>
  </si>
  <si>
    <t>Notas</t>
  </si>
  <si>
    <t>Pastilla</t>
  </si>
  <si>
    <t xml:space="preserve">LPV/r 200/50 mg 2 pastillas dos veces al día </t>
  </si>
  <si>
    <t xml:space="preserve">Alimentación </t>
  </si>
  <si>
    <t>1ª semana</t>
  </si>
  <si>
    <t>2ª semana</t>
  </si>
  <si>
    <t>hasta 2 meses</t>
  </si>
  <si>
    <t>hasta 4 meses</t>
  </si>
  <si>
    <t>hasta 6 meses</t>
  </si>
  <si>
    <t>hasta 12 meses</t>
  </si>
  <si>
    <t xml:space="preserve">hasta 18 meses </t>
  </si>
  <si>
    <t>Unidades totales (pastillas) necesarias para niños/as 10-14kg (1-3 años) 24 meses</t>
  </si>
  <si>
    <t>Unidades totales (pastillas) necesarias para niños/as 14-20kg (3-6 años) 36 meses</t>
  </si>
  <si>
    <t>Unidades totales (pastillas) necesarias para niños/as 20-25kg (6-8 años) 24 meses</t>
  </si>
  <si>
    <t xml:space="preserve">Unidades totales (pastillas) necesarias para niños/as &gt;25kg (8-15 años)  84 meses** </t>
  </si>
  <si>
    <t>AZT/3TC/NVP 
60/30/50 mg/pastilla (3-25kg)
300/150/200 mg/pastilla (&gt;25kg)</t>
  </si>
  <si>
    <t>AZT/3TC
60/30 mg/pastilla (3-25kg)
300/150 mg/pastilla (&gt;25kg)</t>
  </si>
  <si>
    <t>LPV/r
80/20 mg/ml (3-10kg)
100/25 mg/pastilla (&gt;10kg)</t>
  </si>
  <si>
    <t>EFV 200 mg/pastilla</t>
  </si>
  <si>
    <t>**pastilla de adulto utilizada para AZT/3TC/NVP y AZT/3TC pero no para EFV y LPV/r</t>
  </si>
  <si>
    <t>* NVP/AZT/3TC hasta la edad de 3 años, luego se cambia a EFV/AZT/3TC</t>
  </si>
  <si>
    <t>sí</t>
  </si>
  <si>
    <t>Prevalencia del VIH en mujeres embarazadas (%)</t>
  </si>
  <si>
    <t xml:space="preserve">Cobertura de atención prenatal (%) </t>
  </si>
  <si>
    <t>Número de mujeres embarazadas positivas para VIH que se realizaron la prueba y recibieron TARV</t>
  </si>
  <si>
    <t>1)  Mujeres embarazadas elegibles para TARV para su propia salud</t>
  </si>
  <si>
    <r>
      <t>Porcentaje de</t>
    </r>
    <r>
      <rPr>
        <sz val="11"/>
        <rFont val="Tw Cen MT"/>
        <family val="2"/>
      </rPr>
      <t xml:space="preserve"> mujeres embarazadas</t>
    </r>
    <r>
      <rPr>
        <sz val="11"/>
        <color indexed="10"/>
        <rFont val="Tw Cen MT"/>
        <family val="2"/>
      </rPr>
      <t xml:space="preserve"> </t>
    </r>
    <r>
      <rPr>
        <sz val="11"/>
        <color indexed="8"/>
        <rFont val="Tw Cen MT"/>
        <family val="2"/>
      </rPr>
      <t>elegibles para TARV que están en AZT+3TC+NVP (%)</t>
    </r>
  </si>
  <si>
    <t>Porcentaje de mujeres embarazadas elegibles para TARV que están en AZT+3TC+LPV/r (%)</t>
  </si>
  <si>
    <t>Porcentaje de mujeres embarazadas con VIH que no son elegibles para TARV (%)</t>
  </si>
  <si>
    <t>2) Mujeres embarazadas NO elegibles para TARV para su propia salud</t>
  </si>
  <si>
    <t>Costo de medicamento por madre</t>
  </si>
  <si>
    <t>Costo de medicamento por niño/a</t>
  </si>
  <si>
    <t>Costos totales</t>
  </si>
  <si>
    <t>Resumen en gráficos</t>
  </si>
  <si>
    <t>Costo de PTMI y tratamiento de VIH pediátrico</t>
  </si>
  <si>
    <t>Costos de medicamentos para PTMI</t>
  </si>
  <si>
    <t>Medicamentos desechados %</t>
  </si>
  <si>
    <t xml:space="preserve">Unidades totales incluyendo desechados </t>
  </si>
  <si>
    <t>Costo total con descuento ($)</t>
  </si>
  <si>
    <t>Costo total ($)</t>
  </si>
  <si>
    <t>Costo unitario ($)</t>
  </si>
  <si>
    <t>Madre elegible para TARV</t>
  </si>
  <si>
    <t xml:space="preserve">Costo de alimentación de sustitución </t>
  </si>
  <si>
    <t>Costo de medicamentos para VIH pediátrico</t>
  </si>
  <si>
    <t xml:space="preserve">Prevalencia entre mujeres embarazadas (incluidas las mujeres con diagnóstico y TARV previo al embarazo) ; si no estuviera disponible, prevalencia entre adultos (15-49)   </t>
  </si>
  <si>
    <r>
      <t xml:space="preserve">Cobertura de TARV entre mujeres embarazadas con VIH </t>
    </r>
    <r>
      <rPr>
        <b/>
        <u val="single"/>
        <sz val="11"/>
        <rFont val="Tw Cen MT"/>
        <family val="2"/>
      </rPr>
      <t>que accedieron a servicios de atención prenatal y se realizaron la prueba del VIH</t>
    </r>
    <r>
      <rPr>
        <sz val="11"/>
        <rFont val="Tw Cen MT"/>
        <family val="2"/>
      </rPr>
      <t xml:space="preserve"> (se asume que están incluidas las mujeres con diagnóstico y tratamiento previo al embarazo)
* para el '</t>
    </r>
    <r>
      <rPr>
        <i/>
        <sz val="11"/>
        <rFont val="Tw Cen MT"/>
        <family val="2"/>
      </rPr>
      <t>escenario actual sin datos de CPN</t>
    </r>
    <r>
      <rPr>
        <sz val="11"/>
        <rFont val="Tw Cen MT"/>
        <family val="2"/>
      </rPr>
      <t>', introduzca la cobertura de TARV, independientemente de la asistencia a servicios de atención prenatal y prueba de VIH</t>
    </r>
  </si>
  <si>
    <r>
      <t xml:space="preserve">Costo de cada medicamento (por pastilla o ml) 
La información sobre costo unitario de ARVs y pruebas de laboratorio para cada país está disponible en </t>
    </r>
    <r>
      <rPr>
        <sz val="11"/>
        <color indexed="12"/>
        <rFont val="Tw Cen MT"/>
        <family val="2"/>
      </rPr>
      <t xml:space="preserve">http://www.who.int/hiv/amds/gprm/en/index.html </t>
    </r>
    <r>
      <rPr>
        <sz val="11"/>
        <color indexed="8"/>
        <rFont val="Tw Cen MT"/>
        <family val="2"/>
      </rPr>
      <t xml:space="preserve">(Mecanismo mundial de reporte de precios de la OMS)
</t>
    </r>
    <r>
      <rPr>
        <sz val="11"/>
        <rFont val="Tw Cen MT"/>
        <family val="2"/>
      </rPr>
      <t>Los costos que están incluidos por defecto, corresponden a precios del Fondo Estratégico de OPS</t>
    </r>
  </si>
  <si>
    <r>
      <t>Costo de cada medicamento (por pastilla</t>
    </r>
    <r>
      <rPr>
        <sz val="11"/>
        <rFont val="Tw Cen MT"/>
        <family val="2"/>
      </rPr>
      <t xml:space="preserve"> o mL</t>
    </r>
    <r>
      <rPr>
        <sz val="11"/>
        <color indexed="8"/>
        <rFont val="Tw Cen MT"/>
        <family val="2"/>
      </rPr>
      <t>) 
La información sobre costos unita</t>
    </r>
    <r>
      <rPr>
        <sz val="11"/>
        <rFont val="Tw Cen MT"/>
        <family val="2"/>
      </rPr>
      <t xml:space="preserve">rios de ARV </t>
    </r>
    <r>
      <rPr>
        <sz val="11"/>
        <color indexed="8"/>
        <rFont val="Tw Cen MT"/>
        <family val="2"/>
      </rPr>
      <t xml:space="preserve">y pruebas de laboratorio para cada país está disponible en </t>
    </r>
    <r>
      <rPr>
        <sz val="11"/>
        <color indexed="12"/>
        <rFont val="Tw Cen MT"/>
        <family val="2"/>
      </rPr>
      <t xml:space="preserve">http://www.who.int/hiv/amds/gprm/en/index.html </t>
    </r>
    <r>
      <rPr>
        <sz val="11"/>
        <rFont val="Tw Cen MT"/>
        <family val="2"/>
      </rPr>
      <t>(Mecanismo mundial de reporte de precios de la OMS)                                                  Los costos que están incluidos por defecto, corresponden a precios del Fondo Estratégico de OPS</t>
    </r>
  </si>
  <si>
    <t>(costo anual del régimen de 1ª línea) - (costo anual del régimen de 2ª línea más utilizado) 
* Se asume por defecto que el regimen de 2ª línea es: ABC+3TC+LPV/r</t>
  </si>
  <si>
    <t>Costo de los medicamentos para las madres que accedieron a los servicios de atención prenatal</t>
  </si>
  <si>
    <t>Costo total de prueba de sífilis para mujeres embarazadas (dos veces durante el control prenatal)</t>
  </si>
  <si>
    <t>19) Se realizó 3 veces la prueba serológica a los niños/as nacidos de madres seropositivas para sífilis para descartar la infección por sífilis.</t>
  </si>
  <si>
    <t>18) Los niños/as nacidos de madres seropositivas para sífilis recibieron bencilpenicilina G 150,000 unidades x 1dosis.</t>
  </si>
  <si>
    <t>12) Los niños/as &lt; 12 meses expuestos iniciaron profilaxis con Trimetroprim sulfametoxazol a las 4 semanas y continuaron hasta los 18 meses (es decir, durante 17 meses).</t>
  </si>
  <si>
    <t>Instrucciones generales para utilizar esta herramienta de costeo</t>
  </si>
  <si>
    <t>Porcentaje de mujeres embarazadas con resultado positivo en la prueba de VIH que recibieron TARV (%)</t>
  </si>
  <si>
    <r>
      <t>Costo de consejería posterior a la prueba del VIH por caso positivo 
(* Costo promedio de los servicios de prueba y consejería voluntarias (PCV) $16 por usuario</t>
    </r>
    <r>
      <rPr>
        <vertAlign val="superscript"/>
        <sz val="11"/>
        <color indexed="8"/>
        <rFont val="Tw Cen MT"/>
        <family val="2"/>
      </rPr>
      <t>15</t>
    </r>
    <r>
      <rPr>
        <sz val="11"/>
        <color indexed="8"/>
        <rFont val="Tw Cen MT"/>
        <family val="2"/>
      </rPr>
      <t>)</t>
    </r>
  </si>
  <si>
    <t>Previsión de medicamentos desechados.
Si no hay datos disponibles, introduzca 0 o mantenga las tasas de desecho establecidas por defecto (5% para pastillas y 20% para jarabes)</t>
  </si>
  <si>
    <t xml:space="preserve">10) Se recomendó sustitución absoluta de la lactancia materna con fórmula adaptada al 14% para los niños/as expuestos </t>
  </si>
  <si>
    <t>Precios y costos
12. WHO. Global price reporting mechanism. 2010. Disponible en http://www.who.int/hiv/amds/gprm/en/index.html</t>
  </si>
  <si>
    <r>
      <t xml:space="preserve">6. Costos de medicamentos para PTMI, </t>
    </r>
    <r>
      <rPr>
        <sz val="12"/>
        <color indexed="8"/>
        <rFont val="Tw Cen MT"/>
        <family val="2"/>
      </rPr>
      <t>información detallada sobre la estimación de costo de medicamentos para PTMI</t>
    </r>
  </si>
  <si>
    <r>
      <t>8.</t>
    </r>
    <r>
      <rPr>
        <sz val="12"/>
        <color indexed="8"/>
        <rFont val="Tw Cen MT"/>
        <family val="2"/>
      </rPr>
      <t xml:space="preserve"> C</t>
    </r>
    <r>
      <rPr>
        <b/>
        <sz val="12"/>
        <color indexed="8"/>
        <rFont val="Tw Cen MT"/>
        <family val="2"/>
      </rPr>
      <t>ostos de los medicamentos para VIH pediátrico</t>
    </r>
    <r>
      <rPr>
        <sz val="12"/>
        <color indexed="8"/>
        <rFont val="Tw Cen MT"/>
        <family val="2"/>
      </rPr>
      <t>, información detallada sobre la estimación de los precios de medicamentos para VIH pediátrico</t>
    </r>
  </si>
  <si>
    <r>
      <t>10.</t>
    </r>
    <r>
      <rPr>
        <sz val="12"/>
        <color indexed="8"/>
        <rFont val="Tw Cen MT"/>
        <family val="2"/>
      </rPr>
      <t xml:space="preserve"> </t>
    </r>
    <r>
      <rPr>
        <b/>
        <sz val="12"/>
        <color indexed="8"/>
        <rFont val="Tw Cen MT"/>
        <family val="2"/>
      </rPr>
      <t>Acrónimos</t>
    </r>
  </si>
  <si>
    <t>Lactancia materna en población general (media en meses)</t>
  </si>
  <si>
    <t>Duración media (en meses) de la lactancia materna en población general</t>
  </si>
  <si>
    <t>Mujeres con diagnóstico de VIH que tienen parto por cesárea (%)</t>
  </si>
  <si>
    <t>Costo de cesárea (incluyendo AZT ev)</t>
  </si>
  <si>
    <t>Costo de parto (incluyendo AZT ev)</t>
  </si>
  <si>
    <t>Costo (en USD) de realizar un parto por cesárea a mujeres con VIH, incluido el costo de AZT ev</t>
  </si>
  <si>
    <t>Costo (en USD) de realizar un parto vaginal a mujeres con VIH, incluido el costo de AZT ev</t>
  </si>
  <si>
    <r>
      <t xml:space="preserve">• El objetivo de la IE: lograr la eliminación de la transmisión maternoinfantil del VIH y la sífilis congénita, tal como se define en el documento conceptual de la IE.
• Las condiciones necesarias para alcanzar los objetivos de la IE:
  - cobertura del 95% o superior en la atención prenatal y en la atención cualificada del parto 
  - cobertura del 95% o superior en el tamizaje de VIH y sífilis en mujeres embarazadas 
  - cobertura del 95% o superior en el manejo adecuado de la profilaxis del VIH y del tratamiento de la sífilis en mujeres embarazadas y en el manejo de la profilaxis del VIH en niños 
• El paquete de intervenciones necesarias y las especificidades científicas y técnicas surgen de las recomendaciones publicadas en la </t>
    </r>
    <r>
      <rPr>
        <i/>
        <sz val="11"/>
        <color indexed="8"/>
        <rFont val="Tw Cen MT"/>
        <family val="2"/>
      </rPr>
      <t>Guía Clínica para la Eliminación de la Transmisión Maternoinfantil del VIH y de la sífilis congénita en América Latina y el Caribe.</t>
    </r>
  </si>
  <si>
    <t>2) Las mujeres embarazadas se realizaron la prueba del VIH  una vez durante la visita prenatal. Si dieron resultados positivos, se realizó una prueba confirmatoria</t>
  </si>
  <si>
    <t>3) Las mujeres embarazadas con VIH fueron evaluadas para recuento de CD4 y carga viral (CV) dos veces durante el embarazo</t>
  </si>
  <si>
    <t>4) Las parejas de las mujeres embarazadas con VIH también se realizaron la prueba del VIH</t>
  </si>
  <si>
    <r>
      <t>5) Se proveyó profilaxis antirretroviral (ARV) siguiendo las guías de la OPS ‘</t>
    </r>
    <r>
      <rPr>
        <i/>
        <sz val="12"/>
        <rFont val="Tw Cen MT"/>
        <family val="2"/>
      </rPr>
      <t>Guía Clínica para la Eliminación de la Transmisión Maternoinfantil del VIH y de la sífilis congénita en América Latina y el Caribe.’</t>
    </r>
  </si>
  <si>
    <t>9) No hubo ningún caso de mortinato y/o muerte neonatal.</t>
  </si>
  <si>
    <t xml:space="preserve">Tratamiento para infección del VIH pediátrico  (referencias 6, 7, 8, 9, y 10) </t>
  </si>
  <si>
    <t>11) Los niños/as &lt; 12 meses expuestos cuya madre ha recibido profilaxis ARV o TARV recibieron AZT durante 6 semanas</t>
  </si>
  <si>
    <t>3) Los niños/as con VIH fueron evaluados para recuento de CD4 y CV</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</si>
</sst>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_ "/>
    <numFmt numFmtId="173" formatCode="0_);[Red]\(0\)"/>
    <numFmt numFmtId="174" formatCode="0.00000000_);[Red]\(0.00000000\)"/>
    <numFmt numFmtId="175" formatCode="0_ "/>
    <numFmt numFmtId="176" formatCode="0.0_ "/>
    <numFmt numFmtId="177" formatCode="#,##0.00_ ;[Red]\-#,##0.00\ "/>
    <numFmt numFmtId="178" formatCode="#,##0.0;[Red]\-#,##0.0"/>
    <numFmt numFmtId="179" formatCode="#,##0.0"/>
    <numFmt numFmtId="180" formatCode="0.0_);[Red]\(0.0\)"/>
    <numFmt numFmtId="181" formatCode="_(* #,##0_);_(* \(#,##0\);_(* &quot;-&quot;??_);_(@_)"/>
  </numFmts>
  <fonts count="71">
    <font>
      <sz val="11"/>
      <color indexed="8"/>
      <name val="Calibri"/>
      <family val="2"/>
    </font>
    <font>
      <sz val="11"/>
      <color indexed="8"/>
      <name val="Arial"/>
      <family val="2"/>
    </font>
    <font>
      <sz val="6"/>
      <name val="Calibri"/>
      <family val="2"/>
    </font>
    <font>
      <b/>
      <sz val="11"/>
      <color indexed="8"/>
      <name val="Arial"/>
      <family val="2"/>
    </font>
    <font>
      <i/>
      <sz val="11"/>
      <color indexed="8"/>
      <name val="Calibri"/>
      <family val="2"/>
    </font>
    <font>
      <sz val="11"/>
      <color indexed="8"/>
      <name val="Tw Cen MT"/>
      <family val="2"/>
    </font>
    <font>
      <b/>
      <sz val="16"/>
      <color indexed="23"/>
      <name val="Tw Cen MT"/>
      <family val="2"/>
    </font>
    <font>
      <sz val="8"/>
      <color indexed="8"/>
      <name val="Tw Cen MT"/>
      <family val="2"/>
    </font>
    <font>
      <sz val="14"/>
      <color indexed="8"/>
      <name val="Tw Cen MT"/>
      <family val="2"/>
    </font>
    <font>
      <b/>
      <sz val="11"/>
      <color indexed="8"/>
      <name val="Tw Cen MT"/>
      <family val="2"/>
    </font>
    <font>
      <sz val="11"/>
      <color indexed="63"/>
      <name val="Tw Cen MT"/>
      <family val="2"/>
    </font>
    <font>
      <b/>
      <sz val="12"/>
      <color indexed="8"/>
      <name val="Tw Cen MT"/>
      <family val="2"/>
    </font>
    <font>
      <sz val="12"/>
      <color indexed="8"/>
      <name val="Tw Cen MT"/>
      <family val="2"/>
    </font>
    <font>
      <sz val="12"/>
      <color indexed="8"/>
      <name val="Calibri"/>
      <family val="2"/>
    </font>
    <font>
      <i/>
      <sz val="11"/>
      <name val="Tw Cen MT"/>
      <family val="2"/>
    </font>
    <font>
      <sz val="11"/>
      <color indexed="10"/>
      <name val="Tw Cen MT"/>
      <family val="2"/>
    </font>
    <font>
      <b/>
      <i/>
      <sz val="11"/>
      <color indexed="8"/>
      <name val="Tw Cen MT"/>
      <family val="2"/>
    </font>
    <font>
      <b/>
      <sz val="13"/>
      <color indexed="9"/>
      <name val="Tw Cen MT"/>
      <family val="2"/>
    </font>
    <font>
      <sz val="9"/>
      <color indexed="8"/>
      <name val="Tw Cen MT"/>
      <family val="2"/>
    </font>
    <font>
      <sz val="22"/>
      <color indexed="8"/>
      <name val="Tw Cen MT"/>
      <family val="2"/>
    </font>
    <font>
      <i/>
      <sz val="11"/>
      <color indexed="8"/>
      <name val="Tw Cen MT"/>
      <family val="2"/>
    </font>
    <font>
      <vertAlign val="superscript"/>
      <sz val="11"/>
      <color indexed="8"/>
      <name val="Tw Cen MT"/>
      <family val="2"/>
    </font>
    <font>
      <b/>
      <sz val="11"/>
      <name val="Tw Cen MT"/>
      <family val="2"/>
    </font>
    <font>
      <sz val="11"/>
      <name val="Tw Cen MT"/>
      <family val="2"/>
    </font>
    <font>
      <b/>
      <sz val="12"/>
      <name val="Tw Cen MT"/>
      <family val="2"/>
    </font>
    <font>
      <b/>
      <u val="single"/>
      <sz val="11"/>
      <color indexed="8"/>
      <name val="Tw Cen MT"/>
      <family val="2"/>
    </font>
    <font>
      <b/>
      <i/>
      <sz val="11"/>
      <name val="Tw Cen MT"/>
      <family val="2"/>
    </font>
    <font>
      <b/>
      <sz val="13"/>
      <name val="Tw Cen MT"/>
      <family val="2"/>
    </font>
    <font>
      <sz val="11"/>
      <color indexed="12"/>
      <name val="Tw Cen MT"/>
      <family val="2"/>
    </font>
    <font>
      <sz val="12"/>
      <name val="Tw Cen MT"/>
      <family val="2"/>
    </font>
    <font>
      <b/>
      <sz val="13"/>
      <color indexed="8"/>
      <name val="Tw Cen MT"/>
      <family val="2"/>
    </font>
    <font>
      <b/>
      <sz val="11"/>
      <color indexed="10"/>
      <name val="Tw Cen MT"/>
      <family val="2"/>
    </font>
    <font>
      <b/>
      <sz val="14"/>
      <color indexed="23"/>
      <name val="Tw Cen MT"/>
      <family val="2"/>
    </font>
    <font>
      <sz val="16"/>
      <name val="Tw Cen MT"/>
      <family val="2"/>
    </font>
    <font>
      <b/>
      <sz val="14"/>
      <color indexed="8"/>
      <name val="Tw Cen MT"/>
      <family val="2"/>
    </font>
    <font>
      <sz val="16"/>
      <color indexed="8"/>
      <name val="Tw Cen MT"/>
      <family val="2"/>
    </font>
    <font>
      <sz val="22"/>
      <name val="Tw Cen MT"/>
      <family val="2"/>
    </font>
    <font>
      <i/>
      <sz val="12"/>
      <name val="Tw Cen MT"/>
      <family val="2"/>
    </font>
    <font>
      <b/>
      <sz val="12"/>
      <color indexed="12"/>
      <name val="Tw Cen MT"/>
      <family val="2"/>
    </font>
    <font>
      <b/>
      <u val="single"/>
      <sz val="11"/>
      <name val="Tw Cen MT"/>
      <family val="2"/>
    </font>
    <font>
      <sz val="8"/>
      <name val="Tahoma"/>
      <family val="0"/>
    </font>
    <font>
      <b/>
      <sz val="12"/>
      <color indexed="10"/>
      <name val="Tw Cen MT"/>
      <family val="2"/>
    </font>
    <font>
      <b/>
      <u val="single"/>
      <sz val="12"/>
      <color indexed="10"/>
      <name val="Tw Cen MT"/>
      <family val="2"/>
    </font>
    <font>
      <sz val="10"/>
      <color indexed="12"/>
      <name val="Tahoma"/>
      <family val="2"/>
    </font>
    <font>
      <u val="single"/>
      <sz val="10"/>
      <color indexed="12"/>
      <name val="Tahoma"/>
      <family val="2"/>
    </font>
    <font>
      <u val="single"/>
      <sz val="11"/>
      <name val="Tw Cen MT"/>
      <family val="2"/>
    </font>
    <font>
      <b/>
      <i/>
      <sz val="11"/>
      <color indexed="12"/>
      <name val="Tw Cen MT"/>
      <family val="2"/>
    </font>
    <font>
      <b/>
      <i/>
      <u val="single"/>
      <sz val="11"/>
      <color indexed="12"/>
      <name val="Tw Cen MT"/>
      <family val="2"/>
    </font>
    <font>
      <sz val="8"/>
      <name val="Calibri"/>
      <family val="2"/>
    </font>
    <font>
      <sz val="11"/>
      <name val="Arial"/>
      <family val="0"/>
    </font>
    <font>
      <sz val="11"/>
      <color indexed="63"/>
      <name val="Calibri"/>
      <family val="2"/>
    </font>
    <font>
      <b/>
      <sz val="11"/>
      <color indexed="9"/>
      <name val="Tw Cen MT"/>
      <family val="2"/>
    </font>
    <font>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4"/>
      <color indexed="8"/>
      <name val="Calibri"/>
      <family val="0"/>
    </font>
    <font>
      <b/>
      <sz val="8"/>
      <name val="Calibri"/>
      <family val="2"/>
    </font>
  </fonts>
  <fills count="2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9"/>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14"/>
        <bgColor indexed="64"/>
      </patternFill>
    </fill>
    <fill>
      <patternFill patternType="solid">
        <fgColor indexed="45"/>
        <bgColor indexed="64"/>
      </patternFill>
    </fill>
    <fill>
      <patternFill patternType="solid">
        <fgColor indexed="48"/>
        <bgColor indexed="64"/>
      </patternFill>
    </fill>
    <fill>
      <patternFill patternType="solid">
        <fgColor indexed="61"/>
        <bgColor indexed="64"/>
      </patternFill>
    </fill>
    <fill>
      <patternFill patternType="solid">
        <fgColor indexed="44"/>
        <bgColor indexed="64"/>
      </patternFill>
    </fill>
    <fill>
      <patternFill patternType="solid">
        <fgColor indexed="52"/>
        <bgColor indexed="64"/>
      </patternFill>
    </fill>
    <fill>
      <patternFill patternType="solid">
        <fgColor indexed="54"/>
        <bgColor indexed="64"/>
      </patternFill>
    </fill>
    <fill>
      <patternFill patternType="solid">
        <fgColor indexed="13"/>
        <bgColor indexed="64"/>
      </patternFill>
    </fill>
    <fill>
      <patternFill patternType="solid">
        <fgColor indexed="50"/>
        <bgColor indexed="64"/>
      </patternFill>
    </fill>
    <fill>
      <patternFill patternType="solid">
        <fgColor indexed="46"/>
        <bgColor indexed="64"/>
      </patternFill>
    </fill>
    <fill>
      <patternFill patternType="solid">
        <fgColor indexed="51"/>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ck">
        <color indexed="48"/>
      </left>
      <right style="thick">
        <color indexed="48"/>
      </right>
      <top/>
      <bottom/>
    </border>
    <border>
      <left style="thick">
        <color indexed="61"/>
      </left>
      <right style="thick">
        <color indexed="61"/>
      </right>
      <top/>
      <bottom/>
    </border>
    <border>
      <left style="thick">
        <color indexed="61"/>
      </left>
      <right style="thick">
        <color indexed="61"/>
      </right>
      <top/>
      <bottom style="thick">
        <color indexed="61"/>
      </bottom>
    </border>
    <border>
      <left style="thick">
        <color indexed="48"/>
      </left>
      <right style="thick">
        <color indexed="48"/>
      </right>
      <top style="thick">
        <color indexed="48"/>
      </top>
      <bottom style="thin">
        <color indexed="48"/>
      </bottom>
    </border>
    <border>
      <left style="thick">
        <color indexed="61"/>
      </left>
      <right style="thick">
        <color indexed="61"/>
      </right>
      <top style="thick">
        <color indexed="61"/>
      </top>
      <bottom style="thin">
        <color indexed="61"/>
      </bottom>
    </border>
    <border>
      <left/>
      <right/>
      <top style="thin"/>
      <bottom/>
    </border>
    <border>
      <left/>
      <right/>
      <top/>
      <bottom style="thin"/>
    </border>
    <border>
      <left style="thin"/>
      <right/>
      <top style="thin"/>
      <bottom style="thin"/>
    </border>
    <border>
      <left style="thin"/>
      <right/>
      <top/>
      <bottom/>
    </border>
    <border>
      <left/>
      <right/>
      <top style="thin"/>
      <bottom style="thin"/>
    </border>
    <border>
      <left style="thin"/>
      <right style="thin"/>
      <top/>
      <bottom style="thin"/>
    </border>
    <border>
      <left style="thick">
        <color indexed="43"/>
      </left>
      <right style="thin"/>
      <top style="thin"/>
      <bottom style="thin"/>
    </border>
    <border>
      <left style="thin"/>
      <right style="thick">
        <color indexed="43"/>
      </right>
      <top style="thin"/>
      <bottom style="thin"/>
    </border>
    <border>
      <left style="thick">
        <color indexed="43"/>
      </left>
      <right style="thin"/>
      <top style="thin"/>
      <bottom style="thick">
        <color indexed="43"/>
      </bottom>
    </border>
    <border>
      <left style="thick">
        <color indexed="43"/>
      </left>
      <right style="thin"/>
      <top style="thin">
        <color indexed="43"/>
      </top>
      <bottom style="thin"/>
    </border>
    <border>
      <left style="thin"/>
      <right style="thick">
        <color indexed="43"/>
      </right>
      <top style="thin">
        <color indexed="43"/>
      </top>
      <bottom style="thin"/>
    </border>
    <border>
      <left style="thick">
        <color indexed="43"/>
      </left>
      <right/>
      <top style="thick">
        <color indexed="43"/>
      </top>
      <bottom/>
    </border>
    <border>
      <left/>
      <right style="thick">
        <color indexed="43"/>
      </right>
      <top style="thick">
        <color indexed="43"/>
      </top>
      <bottom/>
    </border>
    <border>
      <left style="thick">
        <color indexed="43"/>
      </left>
      <right/>
      <top/>
      <bottom/>
    </border>
    <border>
      <left/>
      <right style="thick">
        <color indexed="43"/>
      </right>
      <top/>
      <bottom/>
    </border>
    <border>
      <left style="thick">
        <color indexed="43"/>
      </left>
      <right/>
      <top/>
      <bottom style="thin"/>
    </border>
    <border>
      <left/>
      <right style="thick">
        <color indexed="43"/>
      </right>
      <top/>
      <bottom style="thin"/>
    </border>
    <border>
      <left style="thick">
        <color indexed="43"/>
      </left>
      <right style="thick">
        <color indexed="43"/>
      </right>
      <top style="thick">
        <color indexed="43"/>
      </top>
      <bottom style="thick">
        <color indexed="43"/>
      </bottom>
    </border>
    <border>
      <left style="thick">
        <color indexed="43"/>
      </left>
      <right style="thin"/>
      <top style="thin"/>
      <bottom/>
    </border>
    <border>
      <left style="thin"/>
      <right style="thick">
        <color indexed="43"/>
      </right>
      <top style="thin"/>
      <bottom/>
    </border>
    <border>
      <left style="thick">
        <color indexed="43"/>
      </left>
      <right style="thin"/>
      <top style="thick">
        <color indexed="43"/>
      </top>
      <bottom style="thin"/>
    </border>
    <border>
      <left style="thin"/>
      <right style="thick">
        <color indexed="43"/>
      </right>
      <top style="thick">
        <color indexed="43"/>
      </top>
      <bottom style="thin"/>
    </border>
    <border>
      <left style="thick">
        <color indexed="43"/>
      </left>
      <right/>
      <top style="thin"/>
      <bottom/>
    </border>
    <border>
      <left/>
      <right style="thick">
        <color indexed="43"/>
      </right>
      <top style="thin"/>
      <bottom/>
    </border>
    <border>
      <left style="thick">
        <color indexed="48"/>
      </left>
      <right style="thin"/>
      <top style="thin"/>
      <bottom style="thin"/>
    </border>
    <border>
      <left style="thin"/>
      <right style="thick">
        <color indexed="48"/>
      </right>
      <top style="thin"/>
      <bottom style="thin"/>
    </border>
    <border>
      <left/>
      <right style="thick">
        <color indexed="48"/>
      </right>
      <top/>
      <bottom/>
    </border>
    <border>
      <left style="thick">
        <color indexed="48"/>
      </left>
      <right style="thin"/>
      <top style="thin"/>
      <bottom style="thick">
        <color indexed="48"/>
      </bottom>
    </border>
    <border>
      <left style="thin"/>
      <right style="thin"/>
      <top style="thin"/>
      <bottom style="thick">
        <color indexed="48"/>
      </bottom>
    </border>
    <border>
      <left style="thin"/>
      <right style="thick">
        <color indexed="48"/>
      </right>
      <top style="thin"/>
      <bottom style="thick">
        <color indexed="48"/>
      </bottom>
    </border>
    <border>
      <left style="thick">
        <color indexed="48"/>
      </left>
      <right style="thin"/>
      <top style="thick">
        <color indexed="48"/>
      </top>
      <bottom style="thin"/>
    </border>
    <border>
      <left style="thin"/>
      <right style="thin"/>
      <top style="thick">
        <color indexed="48"/>
      </top>
      <bottom style="thin"/>
    </border>
    <border>
      <left style="thin"/>
      <right style="thick">
        <color indexed="48"/>
      </right>
      <top style="thick">
        <color indexed="48"/>
      </top>
      <bottom style="thin"/>
    </border>
    <border>
      <left style="thick">
        <color indexed="48"/>
      </left>
      <right/>
      <top/>
      <bottom/>
    </border>
    <border>
      <left/>
      <right style="thin"/>
      <top style="thin"/>
      <bottom style="thin"/>
    </border>
    <border>
      <left style="thin"/>
      <right style="thick">
        <color indexed="43"/>
      </right>
      <top style="thin"/>
      <bottom style="thick">
        <color indexed="43"/>
      </bottom>
    </border>
    <border>
      <left style="thin"/>
      <right style="thick">
        <color indexed="43"/>
      </right>
      <top/>
      <bottom style="thin"/>
    </border>
    <border>
      <left style="thick">
        <color indexed="48"/>
      </left>
      <right style="thick">
        <color indexed="48"/>
      </right>
      <top/>
      <bottom style="thick">
        <color indexed="48"/>
      </bottom>
    </border>
    <border>
      <left style="thin"/>
      <right style="thin"/>
      <top/>
      <bottom/>
    </border>
    <border>
      <left style="thick">
        <color indexed="48"/>
      </left>
      <right style="thick">
        <color indexed="48"/>
      </right>
      <top style="thick">
        <color indexed="48"/>
      </top>
      <bottom/>
    </border>
    <border>
      <left style="thin"/>
      <right style="thick">
        <color indexed="48"/>
      </right>
      <top style="thin"/>
      <bottom/>
    </border>
    <border>
      <left style="thin"/>
      <right style="thick">
        <color indexed="48"/>
      </right>
      <top/>
      <bottom style="thin"/>
    </border>
    <border>
      <left style="thick">
        <color indexed="43"/>
      </left>
      <right style="thin"/>
      <top/>
      <bottom/>
    </border>
    <border>
      <left style="thick">
        <color indexed="43"/>
      </left>
      <right style="thick">
        <color indexed="43"/>
      </right>
      <top/>
      <bottom style="thick">
        <color indexed="43"/>
      </bottom>
    </border>
    <border>
      <left style="thin"/>
      <right style="thick">
        <color indexed="43"/>
      </right>
      <top/>
      <bottom/>
    </border>
    <border>
      <left style="thick">
        <color indexed="43"/>
      </left>
      <right>
        <color indexed="63"/>
      </right>
      <top style="thin"/>
      <bottom style="thin"/>
    </border>
    <border>
      <left>
        <color indexed="63"/>
      </left>
      <right style="thick">
        <color indexed="43"/>
      </right>
      <top style="thin"/>
      <bottom style="thin"/>
    </border>
    <border>
      <left style="thick">
        <color indexed="63"/>
      </left>
      <right style="thin"/>
      <top/>
      <bottom style="thick">
        <color indexed="63"/>
      </bottom>
    </border>
    <border>
      <left style="thin"/>
      <right style="thick">
        <color indexed="63"/>
      </right>
      <top/>
      <bottom style="thick">
        <color indexed="63"/>
      </bottom>
    </border>
    <border>
      <left style="thick">
        <color indexed="43"/>
      </left>
      <right/>
      <top style="thick">
        <color indexed="43"/>
      </top>
      <bottom style="thin"/>
    </border>
    <border>
      <left/>
      <right style="thick">
        <color indexed="43"/>
      </right>
      <top style="thick">
        <color indexed="43"/>
      </top>
      <bottom style="thin"/>
    </border>
    <border>
      <left style="thick">
        <color indexed="43"/>
      </left>
      <right/>
      <top/>
      <bottom>
        <color indexed="63"/>
      </bottom>
    </border>
    <border>
      <left/>
      <right style="thick">
        <color indexed="43"/>
      </right>
      <top/>
      <bottom>
        <color indexed="63"/>
      </bottom>
    </border>
    <border>
      <left style="medium"/>
      <right style="thin"/>
      <top style="medium"/>
      <bottom style="thin">
        <color indexed="55"/>
      </bottom>
    </border>
    <border>
      <left style="thin"/>
      <right style="medium"/>
      <top style="medium"/>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medium"/>
      <right style="thin"/>
      <top style="thin">
        <color indexed="55"/>
      </top>
      <bottom style="medium"/>
    </border>
    <border>
      <left style="thin"/>
      <right style="medium"/>
      <top style="thin">
        <color indexed="55"/>
      </top>
      <bottom style="medium"/>
    </border>
    <border>
      <left style="thick">
        <color indexed="43"/>
      </left>
      <right/>
      <top style="thin"/>
      <bottom style="thin"/>
    </border>
    <border>
      <left/>
      <right style="thick">
        <color indexed="43"/>
      </right>
      <top style="thin"/>
      <bottom style="thin"/>
    </border>
    <border>
      <left style="thick">
        <color indexed="63"/>
      </left>
      <right/>
      <top style="thick">
        <color indexed="63"/>
      </top>
      <bottom style="thick">
        <color indexed="8"/>
      </bottom>
    </border>
    <border>
      <left/>
      <right style="thick">
        <color indexed="63"/>
      </right>
      <top style="thick">
        <color indexed="63"/>
      </top>
      <bottom style="thick">
        <color indexed="8"/>
      </bottom>
    </border>
    <border>
      <left style="thick">
        <color indexed="48"/>
      </left>
      <right style="thin"/>
      <top style="thin"/>
      <bottom/>
    </border>
    <border>
      <left style="thick">
        <color indexed="48"/>
      </left>
      <right style="thin"/>
      <top/>
      <bottom style="thin"/>
    </border>
    <border>
      <left style="thick">
        <color indexed="48"/>
      </left>
      <right/>
      <top/>
      <bottom style="thin"/>
    </border>
    <border>
      <left/>
      <right style="thick">
        <color indexed="48"/>
      </right>
      <top/>
      <bottom style="thin"/>
    </border>
    <border>
      <left style="medium"/>
      <right/>
      <top style="medium"/>
      <bottom style="medium"/>
    </border>
    <border>
      <left/>
      <right style="medium"/>
      <top style="medium"/>
      <bottom style="medium"/>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53" fillId="7" borderId="0" applyNumberFormat="0" applyBorder="0" applyAlignment="0" applyProtection="0"/>
    <xf numFmtId="0" fontId="53" fillId="6"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7" borderId="0" applyNumberFormat="0" applyBorder="0" applyAlignment="0" applyProtection="0"/>
    <xf numFmtId="0" fontId="53" fillId="3" borderId="0" applyNumberFormat="0" applyBorder="0" applyAlignment="0" applyProtection="0"/>
    <xf numFmtId="0" fontId="54" fillId="10" borderId="0" applyNumberFormat="0" applyBorder="0" applyAlignment="0" applyProtection="0"/>
    <xf numFmtId="0" fontId="55" fillId="11" borderId="1" applyNumberFormat="0" applyAlignment="0" applyProtection="0"/>
    <xf numFmtId="0" fontId="56" fillId="9" borderId="2" applyNumberFormat="0" applyAlignment="0" applyProtection="0"/>
    <xf numFmtId="0" fontId="57" fillId="0" borderId="3" applyNumberFormat="0" applyFill="0" applyAlignment="0" applyProtection="0"/>
    <xf numFmtId="43" fontId="0" fillId="0" borderId="0" applyFont="0" applyFill="0" applyBorder="0" applyAlignment="0" applyProtection="0"/>
    <xf numFmtId="3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3" fillId="7"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9" fillId="3" borderId="1" applyNumberFormat="0" applyAlignment="0" applyProtection="0"/>
    <xf numFmtId="0" fontId="60" fillId="15" borderId="0" applyNumberFormat="0" applyBorder="0" applyAlignment="0" applyProtection="0"/>
    <xf numFmtId="0" fontId="61" fillId="3"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62" fillId="1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443">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8" fillId="0" borderId="0" xfId="0" applyFont="1" applyAlignment="1">
      <alignment vertical="center"/>
    </xf>
    <xf numFmtId="0" fontId="9" fillId="0" borderId="0" xfId="0" applyFont="1" applyFill="1" applyBorder="1" applyAlignment="1">
      <alignment vertical="center"/>
    </xf>
    <xf numFmtId="0" fontId="5" fillId="4" borderId="10" xfId="0" applyFont="1" applyFill="1" applyBorder="1" applyAlignment="1">
      <alignment vertical="center" wrapText="1"/>
    </xf>
    <xf numFmtId="175" fontId="5" fillId="4" borderId="10" xfId="0" applyNumberFormat="1" applyFont="1" applyFill="1" applyBorder="1" applyAlignment="1">
      <alignment vertical="center"/>
    </xf>
    <xf numFmtId="176" fontId="5" fillId="4" borderId="10" xfId="0" applyNumberFormat="1" applyFont="1" applyFill="1" applyBorder="1" applyAlignment="1">
      <alignment vertical="center"/>
    </xf>
    <xf numFmtId="0" fontId="5" fillId="0" borderId="10" xfId="0" applyFont="1" applyBorder="1" applyAlignment="1">
      <alignment horizontal="left" vertical="center"/>
    </xf>
    <xf numFmtId="0" fontId="10"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10" borderId="10" xfId="0" applyFont="1" applyFill="1" applyBorder="1" applyAlignment="1">
      <alignment horizontal="left" vertical="center"/>
    </xf>
    <xf numFmtId="2" fontId="5" fillId="10" borderId="10" xfId="0" applyNumberFormat="1" applyFont="1" applyFill="1" applyBorder="1" applyAlignment="1">
      <alignment vertical="center"/>
    </xf>
    <xf numFmtId="0" fontId="5" fillId="4" borderId="10" xfId="0" applyFont="1" applyFill="1" applyBorder="1" applyAlignment="1">
      <alignment horizontal="left" vertical="center"/>
    </xf>
    <xf numFmtId="2" fontId="5" fillId="4" borderId="10" xfId="0" applyNumberFormat="1" applyFont="1" applyFill="1" applyBorder="1" applyAlignment="1">
      <alignment vertical="center"/>
    </xf>
    <xf numFmtId="0" fontId="5" fillId="16" borderId="10" xfId="0" applyFont="1" applyFill="1" applyBorder="1" applyAlignment="1">
      <alignment horizontal="left" vertical="center"/>
    </xf>
    <xf numFmtId="2" fontId="5" fillId="16" borderId="10" xfId="0" applyNumberFormat="1" applyFont="1" applyFill="1" applyBorder="1" applyAlignment="1">
      <alignment vertical="center"/>
    </xf>
    <xf numFmtId="0" fontId="5" fillId="0" borderId="0" xfId="0" applyFont="1" applyAlignment="1">
      <alignment vertical="center"/>
    </xf>
    <xf numFmtId="0" fontId="9" fillId="8" borderId="10" xfId="0" applyFont="1" applyFill="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vertical="center"/>
    </xf>
    <xf numFmtId="2" fontId="5" fillId="0" borderId="10" xfId="0" applyNumberFormat="1" applyFont="1" applyBorder="1" applyAlignment="1">
      <alignment vertical="center"/>
    </xf>
    <xf numFmtId="0" fontId="5" fillId="0" borderId="10" xfId="0" applyFont="1" applyBorder="1" applyAlignment="1">
      <alignment horizontal="center" vertical="center" wrapText="1"/>
    </xf>
    <xf numFmtId="40" fontId="5" fillId="0" borderId="10" xfId="0" applyNumberFormat="1" applyFont="1" applyBorder="1" applyAlignment="1">
      <alignment vertical="center"/>
    </xf>
    <xf numFmtId="177" fontId="5" fillId="0" borderId="10" xfId="0" applyNumberFormat="1" applyFont="1" applyBorder="1" applyAlignment="1">
      <alignment vertical="center"/>
    </xf>
    <xf numFmtId="0" fontId="5" fillId="4" borderId="10" xfId="0" applyFont="1" applyFill="1" applyBorder="1" applyAlignment="1">
      <alignment horizontal="center" vertical="center" wrapText="1"/>
    </xf>
    <xf numFmtId="177" fontId="5" fillId="4" borderId="10" xfId="0" applyNumberFormat="1" applyFont="1" applyFill="1" applyBorder="1" applyAlignment="1">
      <alignment vertical="center"/>
    </xf>
    <xf numFmtId="0" fontId="5" fillId="0" borderId="0" xfId="0" applyFont="1" applyFill="1" applyBorder="1" applyAlignment="1">
      <alignment horizontal="center" vertical="center" wrapText="1"/>
    </xf>
    <xf numFmtId="177" fontId="5" fillId="0" borderId="0" xfId="0" applyNumberFormat="1" applyFont="1" applyFill="1" applyBorder="1" applyAlignment="1">
      <alignment vertical="center"/>
    </xf>
    <xf numFmtId="0" fontId="9" fillId="8" borderId="10"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12" fillId="0" borderId="0" xfId="0" applyFont="1" applyAlignment="1">
      <alignment vertical="center"/>
    </xf>
    <xf numFmtId="0" fontId="11"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2" fillId="0" borderId="0" xfId="0" applyFont="1" applyFill="1" applyBorder="1" applyAlignment="1">
      <alignment vertical="center" wrapText="1"/>
    </xf>
    <xf numFmtId="0" fontId="13" fillId="0" borderId="0" xfId="0" applyFont="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top" wrapText="1"/>
    </xf>
    <xf numFmtId="0" fontId="5" fillId="0" borderId="0" xfId="0" applyFont="1" applyAlignment="1">
      <alignment vertical="center" wrapText="1"/>
    </xf>
    <xf numFmtId="0" fontId="12" fillId="5" borderId="12" xfId="0" applyFont="1" applyFill="1" applyBorder="1" applyAlignment="1">
      <alignment vertical="top" wrapText="1"/>
    </xf>
    <xf numFmtId="0" fontId="3" fillId="0" borderId="0" xfId="0" applyFont="1" applyFill="1" applyBorder="1" applyAlignment="1">
      <alignment vertical="center"/>
    </xf>
    <xf numFmtId="0" fontId="1" fillId="0" borderId="0" xfId="0" applyFont="1" applyFill="1" applyBorder="1" applyAlignment="1">
      <alignment vertical="center" wrapText="1"/>
    </xf>
    <xf numFmtId="0" fontId="12" fillId="16" borderId="13" xfId="0" applyFont="1" applyFill="1" applyBorder="1" applyAlignment="1">
      <alignment vertical="top" wrapText="1"/>
    </xf>
    <xf numFmtId="0" fontId="12" fillId="16" borderId="14" xfId="0" applyFont="1" applyFill="1" applyBorder="1" applyAlignment="1">
      <alignment vertical="top" wrapText="1"/>
    </xf>
    <xf numFmtId="0" fontId="17" fillId="17" borderId="15" xfId="0" applyFont="1" applyFill="1" applyBorder="1" applyAlignment="1">
      <alignment vertical="center" wrapText="1"/>
    </xf>
    <xf numFmtId="0" fontId="17" fillId="18" borderId="16" xfId="0" applyFont="1" applyFill="1" applyBorder="1" applyAlignment="1">
      <alignment vertical="center" wrapText="1"/>
    </xf>
    <xf numFmtId="0" fontId="18"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center"/>
    </xf>
    <xf numFmtId="0" fontId="5" fillId="0" borderId="0" xfId="0" applyFont="1" applyAlignment="1">
      <alignment vertical="top" wrapText="1"/>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38" fontId="5" fillId="0" borderId="0" xfId="0" applyNumberFormat="1" applyFont="1" applyAlignment="1" applyProtection="1">
      <alignment vertical="center"/>
      <protection/>
    </xf>
    <xf numFmtId="38" fontId="5" fillId="0" borderId="0" xfId="0" applyNumberFormat="1" applyFont="1" applyFill="1" applyAlignment="1" applyProtection="1">
      <alignment vertical="center"/>
      <protection/>
    </xf>
    <xf numFmtId="172" fontId="5" fillId="0" borderId="0" xfId="0" applyNumberFormat="1" applyFont="1" applyFill="1" applyBorder="1" applyAlignment="1" applyProtection="1">
      <alignment vertical="center"/>
      <protection/>
    </xf>
    <xf numFmtId="173" fontId="5" fillId="0" borderId="0" xfId="0" applyNumberFormat="1" applyFont="1" applyAlignment="1" applyProtection="1">
      <alignment vertical="center"/>
      <protection/>
    </xf>
    <xf numFmtId="173" fontId="5" fillId="0" borderId="0" xfId="0" applyNumberFormat="1" applyFont="1" applyFill="1" applyAlignment="1" applyProtection="1">
      <alignment vertical="center"/>
      <protection/>
    </xf>
    <xf numFmtId="172" fontId="5" fillId="0" borderId="10" xfId="0" applyNumberFormat="1" applyFont="1" applyFill="1" applyBorder="1" applyAlignment="1" applyProtection="1">
      <alignment vertical="center"/>
      <protection/>
    </xf>
    <xf numFmtId="172" fontId="5" fillId="0" borderId="10" xfId="0" applyNumberFormat="1" applyFont="1" applyFill="1" applyBorder="1" applyAlignment="1" applyProtection="1">
      <alignment vertical="center" wrapText="1"/>
      <protection/>
    </xf>
    <xf numFmtId="0" fontId="5" fillId="0" borderId="0" xfId="0" applyFont="1" applyFill="1" applyBorder="1" applyAlignment="1" applyProtection="1">
      <alignment vertical="center"/>
      <protection/>
    </xf>
    <xf numFmtId="175" fontId="5" fillId="0" borderId="10" xfId="0" applyNumberFormat="1" applyFont="1" applyFill="1" applyBorder="1" applyAlignment="1" applyProtection="1">
      <alignment vertical="center"/>
      <protection/>
    </xf>
    <xf numFmtId="176" fontId="5" fillId="0" borderId="10" xfId="0" applyNumberFormat="1" applyFont="1" applyFill="1" applyBorder="1" applyAlignment="1" applyProtection="1">
      <alignment vertical="center"/>
      <protection/>
    </xf>
    <xf numFmtId="40" fontId="5" fillId="0" borderId="10" xfId="38" applyNumberFormat="1" applyFont="1" applyFill="1" applyBorder="1" applyAlignment="1" applyProtection="1">
      <alignment vertical="center"/>
      <protection/>
    </xf>
    <xf numFmtId="0" fontId="5" fillId="0" borderId="0" xfId="0" applyFont="1" applyAlignment="1" applyProtection="1">
      <alignment vertical="center" wrapText="1"/>
      <protection/>
    </xf>
    <xf numFmtId="172" fontId="5" fillId="0" borderId="0" xfId="0" applyNumberFormat="1" applyFont="1" applyAlignment="1" applyProtection="1">
      <alignment vertical="center" wrapText="1"/>
      <protection/>
    </xf>
    <xf numFmtId="172" fontId="5" fillId="0" borderId="0" xfId="0" applyNumberFormat="1" applyFont="1" applyAlignment="1" applyProtection="1">
      <alignment vertical="center"/>
      <protection/>
    </xf>
    <xf numFmtId="0" fontId="5" fillId="0" borderId="0" xfId="0" applyFont="1" applyFill="1" applyAlignment="1">
      <alignment vertical="center"/>
    </xf>
    <xf numFmtId="38" fontId="5" fillId="19" borderId="10" xfId="0" applyNumberFormat="1" applyFont="1" applyFill="1" applyBorder="1" applyAlignment="1" applyProtection="1">
      <alignment vertical="center"/>
      <protection locked="0"/>
    </xf>
    <xf numFmtId="38" fontId="5" fillId="0" borderId="0" xfId="0" applyNumberFormat="1" applyFont="1" applyAlignment="1">
      <alignment vertical="center"/>
    </xf>
    <xf numFmtId="38" fontId="5" fillId="0" borderId="0" xfId="0" applyNumberFormat="1" applyFont="1" applyFill="1" applyAlignment="1">
      <alignment vertical="center"/>
    </xf>
    <xf numFmtId="0" fontId="5" fillId="19" borderId="10" xfId="0" applyFont="1" applyFill="1" applyBorder="1" applyAlignment="1">
      <alignment vertical="center" wrapText="1"/>
    </xf>
    <xf numFmtId="172" fontId="5" fillId="19" borderId="10" xfId="0" applyNumberFormat="1" applyFont="1" applyFill="1" applyBorder="1" applyAlignment="1" applyProtection="1">
      <alignment vertical="center"/>
      <protection locked="0"/>
    </xf>
    <xf numFmtId="172" fontId="5" fillId="0" borderId="0" xfId="0" applyNumberFormat="1" applyFont="1" applyFill="1" applyBorder="1" applyAlignment="1">
      <alignment vertical="center"/>
    </xf>
    <xf numFmtId="176" fontId="5" fillId="19"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wrapText="1"/>
      <protection/>
    </xf>
    <xf numFmtId="0" fontId="5" fillId="0" borderId="10" xfId="0" applyFont="1" applyFill="1" applyBorder="1" applyAlignment="1">
      <alignment vertical="center" wrapText="1"/>
    </xf>
    <xf numFmtId="173" fontId="5" fillId="0" borderId="10" xfId="0" applyNumberFormat="1" applyFont="1" applyFill="1" applyBorder="1" applyAlignment="1">
      <alignment vertical="center" wrapText="1"/>
    </xf>
    <xf numFmtId="173" fontId="5" fillId="0" borderId="0" xfId="0" applyNumberFormat="1" applyFont="1" applyAlignment="1">
      <alignment vertical="center" wrapText="1"/>
    </xf>
    <xf numFmtId="174" fontId="5" fillId="0" borderId="0" xfId="0" applyNumberFormat="1" applyFont="1" applyAlignment="1">
      <alignment vertical="center" wrapText="1"/>
    </xf>
    <xf numFmtId="173" fontId="5" fillId="0" borderId="0" xfId="0" applyNumberFormat="1" applyFont="1" applyFill="1" applyAlignment="1">
      <alignment vertical="center" wrapText="1"/>
    </xf>
    <xf numFmtId="173" fontId="5" fillId="0" borderId="0" xfId="0" applyNumberFormat="1" applyFont="1" applyAlignment="1">
      <alignment vertical="center"/>
    </xf>
    <xf numFmtId="173" fontId="5" fillId="0" borderId="0" xfId="0" applyNumberFormat="1" applyFont="1" applyFill="1" applyAlignment="1">
      <alignment vertical="center"/>
    </xf>
    <xf numFmtId="173" fontId="5" fillId="8" borderId="0" xfId="0" applyNumberFormat="1" applyFont="1" applyFill="1" applyBorder="1" applyAlignment="1">
      <alignment vertical="center"/>
    </xf>
    <xf numFmtId="40" fontId="5" fillId="0" borderId="10" xfId="38" applyNumberFormat="1" applyFont="1" applyFill="1" applyBorder="1" applyAlignment="1">
      <alignment vertical="center"/>
    </xf>
    <xf numFmtId="0" fontId="5" fillId="0" borderId="0" xfId="0" applyFont="1" applyBorder="1" applyAlignment="1">
      <alignment vertical="center"/>
    </xf>
    <xf numFmtId="0" fontId="5" fillId="0" borderId="17" xfId="0" applyFont="1" applyFill="1" applyBorder="1" applyAlignment="1">
      <alignment vertical="center" wrapText="1"/>
    </xf>
    <xf numFmtId="172" fontId="5" fillId="0" borderId="17" xfId="0" applyNumberFormat="1" applyFont="1" applyFill="1" applyBorder="1" applyAlignment="1">
      <alignment vertical="center"/>
    </xf>
    <xf numFmtId="0" fontId="9" fillId="0" borderId="0" xfId="0" applyFont="1" applyFill="1" applyBorder="1" applyAlignment="1">
      <alignment horizontal="left" vertical="center" wrapText="1"/>
    </xf>
    <xf numFmtId="0" fontId="5" fillId="19" borderId="10" xfId="0" applyFont="1" applyFill="1" applyBorder="1" applyAlignment="1" applyProtection="1">
      <alignment horizontal="right" vertical="center" wrapText="1"/>
      <protection locked="0"/>
    </xf>
    <xf numFmtId="0" fontId="5" fillId="19"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5" fillId="8" borderId="10" xfId="0" applyFont="1" applyFill="1" applyBorder="1" applyAlignment="1">
      <alignment vertical="center" wrapText="1"/>
    </xf>
    <xf numFmtId="40" fontId="5" fillId="8" borderId="10" xfId="38" applyNumberFormat="1" applyFont="1" applyFill="1" applyBorder="1" applyAlignment="1">
      <alignment vertical="center"/>
    </xf>
    <xf numFmtId="0" fontId="5" fillId="0" borderId="0" xfId="0" applyFont="1" applyFill="1" applyBorder="1" applyAlignment="1">
      <alignment vertical="center"/>
    </xf>
    <xf numFmtId="172" fontId="5" fillId="0" borderId="18" xfId="0" applyNumberFormat="1" applyFont="1" applyFill="1" applyBorder="1" applyAlignment="1">
      <alignment vertical="center"/>
    </xf>
    <xf numFmtId="172" fontId="5" fillId="0" borderId="10" xfId="0" applyNumberFormat="1" applyFont="1" applyFill="1" applyBorder="1" applyAlignment="1">
      <alignment vertical="center"/>
    </xf>
    <xf numFmtId="0" fontId="9" fillId="0" borderId="0" xfId="0" applyFont="1" applyFill="1" applyBorder="1" applyAlignment="1">
      <alignment vertical="center" wrapText="1"/>
    </xf>
    <xf numFmtId="175" fontId="5" fillId="19" borderId="19" xfId="0" applyNumberFormat="1" applyFont="1" applyFill="1" applyBorder="1" applyAlignment="1" applyProtection="1">
      <alignment vertical="center"/>
      <protection locked="0"/>
    </xf>
    <xf numFmtId="172" fontId="5" fillId="0" borderId="20" xfId="0" applyNumberFormat="1" applyFont="1" applyFill="1" applyBorder="1" applyAlignment="1">
      <alignment vertical="center"/>
    </xf>
    <xf numFmtId="0" fontId="5" fillId="0" borderId="21" xfId="0" applyFont="1" applyFill="1" applyBorder="1" applyAlignment="1">
      <alignment vertical="center" wrapText="1"/>
    </xf>
    <xf numFmtId="172" fontId="5" fillId="0" borderId="21" xfId="0" applyNumberFormat="1" applyFont="1" applyFill="1" applyBorder="1" applyAlignment="1">
      <alignment vertical="center"/>
    </xf>
    <xf numFmtId="175" fontId="5" fillId="19" borderId="10" xfId="0" applyNumberFormat="1" applyFont="1" applyFill="1" applyBorder="1" applyAlignment="1" applyProtection="1">
      <alignment vertical="center"/>
      <protection locked="0"/>
    </xf>
    <xf numFmtId="0" fontId="5" fillId="0" borderId="0" xfId="0" applyFont="1" applyFill="1" applyBorder="1" applyAlignment="1">
      <alignment vertical="center" wrapText="1"/>
    </xf>
    <xf numFmtId="0" fontId="9" fillId="0" borderId="18" xfId="0" applyFont="1" applyFill="1" applyBorder="1" applyAlignment="1">
      <alignment vertical="center" wrapText="1"/>
    </xf>
    <xf numFmtId="173" fontId="5" fillId="19" borderId="10" xfId="0" applyNumberFormat="1" applyFont="1" applyFill="1" applyBorder="1" applyAlignment="1">
      <alignment vertical="center" wrapText="1"/>
    </xf>
    <xf numFmtId="173" fontId="5" fillId="19" borderId="10" xfId="0" applyNumberFormat="1" applyFont="1" applyFill="1" applyBorder="1" applyAlignment="1" applyProtection="1">
      <alignment vertical="center"/>
      <protection locked="0"/>
    </xf>
    <xf numFmtId="40" fontId="5" fillId="0" borderId="17" xfId="38" applyNumberFormat="1" applyFont="1" applyFill="1" applyBorder="1" applyAlignment="1">
      <alignment vertical="center"/>
    </xf>
    <xf numFmtId="0" fontId="9" fillId="8" borderId="10" xfId="0" applyFont="1" applyFill="1" applyBorder="1" applyAlignment="1">
      <alignment vertical="center" wrapText="1"/>
    </xf>
    <xf numFmtId="0" fontId="9" fillId="0" borderId="17" xfId="0" applyFont="1" applyFill="1" applyBorder="1" applyAlignment="1">
      <alignment vertical="center" wrapText="1"/>
    </xf>
    <xf numFmtId="0" fontId="9" fillId="8" borderId="0" xfId="0" applyFont="1" applyFill="1" applyBorder="1" applyAlignment="1">
      <alignment vertical="center" wrapText="1"/>
    </xf>
    <xf numFmtId="172" fontId="5" fillId="8" borderId="0" xfId="0" applyNumberFormat="1" applyFont="1" applyFill="1" applyBorder="1" applyAlignment="1">
      <alignment vertical="center"/>
    </xf>
    <xf numFmtId="178" fontId="5" fillId="19" borderId="10" xfId="38" applyNumberFormat="1" applyFont="1" applyFill="1" applyBorder="1" applyAlignment="1" applyProtection="1">
      <alignment vertical="center"/>
      <protection locked="0"/>
    </xf>
    <xf numFmtId="40" fontId="5" fillId="19" borderId="10" xfId="38" applyNumberFormat="1" applyFont="1" applyFill="1" applyBorder="1" applyAlignment="1" applyProtection="1">
      <alignment vertical="center"/>
      <protection locked="0"/>
    </xf>
    <xf numFmtId="0" fontId="22" fillId="8" borderId="10" xfId="0" applyFont="1" applyFill="1" applyBorder="1" applyAlignment="1">
      <alignment vertical="center" wrapText="1"/>
    </xf>
    <xf numFmtId="40" fontId="23" fillId="8" borderId="10" xfId="38" applyNumberFormat="1" applyFont="1" applyFill="1" applyBorder="1" applyAlignment="1" applyProtection="1">
      <alignment vertical="center"/>
      <protection/>
    </xf>
    <xf numFmtId="0" fontId="22" fillId="0" borderId="17" xfId="0" applyFont="1" applyFill="1" applyBorder="1" applyAlignment="1">
      <alignment vertical="center" wrapText="1"/>
    </xf>
    <xf numFmtId="172" fontId="23" fillId="0" borderId="17" xfId="0" applyNumberFormat="1" applyFont="1" applyFill="1" applyBorder="1" applyAlignment="1">
      <alignment vertical="center"/>
    </xf>
    <xf numFmtId="0" fontId="22" fillId="0" borderId="0" xfId="0" applyFont="1" applyFill="1" applyBorder="1" applyAlignment="1">
      <alignment vertical="center" wrapText="1"/>
    </xf>
    <xf numFmtId="172" fontId="23" fillId="0" borderId="0" xfId="0" applyNumberFormat="1" applyFont="1" applyFill="1" applyBorder="1" applyAlignment="1">
      <alignment vertical="center"/>
    </xf>
    <xf numFmtId="0" fontId="22" fillId="8" borderId="0" xfId="0" applyFont="1" applyFill="1" applyBorder="1" applyAlignment="1">
      <alignment vertical="center" wrapText="1"/>
    </xf>
    <xf numFmtId="172" fontId="23" fillId="8" borderId="0" xfId="0" applyNumberFormat="1" applyFont="1" applyFill="1" applyBorder="1" applyAlignment="1">
      <alignment vertical="center"/>
    </xf>
    <xf numFmtId="175" fontId="23" fillId="0" borderId="0" xfId="0" applyNumberFormat="1" applyFont="1" applyFill="1" applyBorder="1" applyAlignment="1">
      <alignment vertical="center"/>
    </xf>
    <xf numFmtId="0" fontId="26" fillId="0" borderId="18" xfId="0" applyFont="1" applyFill="1" applyBorder="1" applyAlignment="1">
      <alignment vertical="center" wrapText="1"/>
    </xf>
    <xf numFmtId="172" fontId="23" fillId="0" borderId="18" xfId="0" applyNumberFormat="1" applyFont="1" applyFill="1" applyBorder="1" applyAlignment="1">
      <alignment vertical="center"/>
    </xf>
    <xf numFmtId="0" fontId="16" fillId="0" borderId="0" xfId="0" applyFont="1" applyFill="1" applyBorder="1" applyAlignment="1">
      <alignment vertical="center" wrapText="1"/>
    </xf>
    <xf numFmtId="0" fontId="5" fillId="0" borderId="10" xfId="0" applyFont="1" applyFill="1" applyBorder="1" applyAlignment="1">
      <alignment horizontal="left" vertical="center" wrapText="1"/>
    </xf>
    <xf numFmtId="0" fontId="5" fillId="8" borderId="10" xfId="0" applyFont="1" applyFill="1" applyBorder="1" applyAlignment="1">
      <alignment horizontal="left" vertical="center" wrapText="1"/>
    </xf>
    <xf numFmtId="40" fontId="5" fillId="8" borderId="10" xfId="38"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xf>
    <xf numFmtId="0" fontId="16" fillId="0" borderId="0" xfId="0" applyFont="1" applyFill="1" applyBorder="1" applyAlignment="1">
      <alignment horizontal="left" vertical="center" wrapText="1"/>
    </xf>
    <xf numFmtId="0" fontId="5" fillId="11" borderId="10" xfId="0" applyFont="1" applyFill="1" applyBorder="1" applyAlignment="1">
      <alignment vertical="center" wrapText="1"/>
    </xf>
    <xf numFmtId="40" fontId="5" fillId="11" borderId="10" xfId="38" applyNumberFormat="1" applyFont="1" applyFill="1" applyBorder="1" applyAlignment="1">
      <alignment vertical="center"/>
    </xf>
    <xf numFmtId="0" fontId="16" fillId="0" borderId="18" xfId="0" applyFont="1" applyFill="1" applyBorder="1" applyAlignment="1">
      <alignment vertical="center" wrapText="1"/>
    </xf>
    <xf numFmtId="40" fontId="5" fillId="0" borderId="21" xfId="38" applyNumberFormat="1" applyFont="1" applyFill="1" applyBorder="1" applyAlignment="1">
      <alignment vertical="center"/>
    </xf>
    <xf numFmtId="173" fontId="5" fillId="8" borderId="10" xfId="0" applyNumberFormat="1" applyFont="1" applyFill="1" applyBorder="1" applyAlignment="1">
      <alignment vertical="center" wrapText="1"/>
    </xf>
    <xf numFmtId="173" fontId="5" fillId="8" borderId="10" xfId="0" applyNumberFormat="1" applyFont="1" applyFill="1" applyBorder="1" applyAlignment="1">
      <alignment vertical="center"/>
    </xf>
    <xf numFmtId="172" fontId="5" fillId="0" borderId="0" xfId="0" applyNumberFormat="1" applyFont="1" applyAlignment="1">
      <alignment vertical="center"/>
    </xf>
    <xf numFmtId="0" fontId="5" fillId="8" borderId="11" xfId="0" applyFont="1" applyFill="1" applyBorder="1" applyAlignment="1">
      <alignment vertical="center" wrapText="1"/>
    </xf>
    <xf numFmtId="40" fontId="5" fillId="8" borderId="11" xfId="38" applyNumberFormat="1" applyFont="1" applyFill="1" applyBorder="1" applyAlignment="1">
      <alignment vertical="center"/>
    </xf>
    <xf numFmtId="175" fontId="5" fillId="4" borderId="22" xfId="0" applyNumberFormat="1" applyFont="1" applyFill="1" applyBorder="1" applyAlignment="1">
      <alignment vertical="center"/>
    </xf>
    <xf numFmtId="0" fontId="5" fillId="4" borderId="11" xfId="0" applyFont="1" applyFill="1" applyBorder="1" applyAlignment="1">
      <alignment vertical="center" wrapText="1"/>
    </xf>
    <xf numFmtId="40" fontId="5" fillId="4" borderId="11" xfId="38" applyNumberFormat="1" applyFont="1" applyFill="1" applyBorder="1" applyAlignment="1">
      <alignment vertical="center"/>
    </xf>
    <xf numFmtId="175" fontId="5" fillId="16" borderId="22" xfId="0" applyNumberFormat="1" applyFont="1" applyFill="1" applyBorder="1" applyAlignment="1">
      <alignment vertical="center"/>
    </xf>
    <xf numFmtId="172" fontId="5" fillId="0" borderId="0" xfId="0" applyNumberFormat="1" applyFont="1" applyAlignment="1">
      <alignment vertical="center" wrapText="1"/>
    </xf>
    <xf numFmtId="173" fontId="5" fillId="0" borderId="0" xfId="0" applyNumberFormat="1" applyFont="1" applyBorder="1" applyAlignment="1">
      <alignment vertical="center"/>
    </xf>
    <xf numFmtId="38" fontId="5" fillId="2" borderId="23" xfId="0" applyNumberFormat="1" applyFont="1" applyFill="1" applyBorder="1" applyAlignment="1" applyProtection="1">
      <alignment vertical="center" wrapText="1"/>
      <protection/>
    </xf>
    <xf numFmtId="49" fontId="5" fillId="0" borderId="24" xfId="0" applyNumberFormat="1" applyFont="1" applyFill="1" applyBorder="1" applyAlignment="1" applyProtection="1">
      <alignment horizontal="left" vertical="center" wrapText="1"/>
      <protection/>
    </xf>
    <xf numFmtId="0" fontId="5" fillId="2" borderId="23" xfId="0" applyFont="1" applyFill="1" applyBorder="1" applyAlignment="1" applyProtection="1">
      <alignment vertical="center" wrapText="1"/>
      <protection/>
    </xf>
    <xf numFmtId="49" fontId="5" fillId="0" borderId="24" xfId="0" applyNumberFormat="1" applyFont="1" applyFill="1" applyBorder="1" applyAlignment="1" applyProtection="1">
      <alignment vertical="center" wrapText="1"/>
      <protection/>
    </xf>
    <xf numFmtId="0" fontId="5" fillId="2" borderId="25" xfId="0" applyFont="1" applyFill="1" applyBorder="1" applyAlignment="1" applyProtection="1">
      <alignment vertical="center" wrapText="1"/>
      <protection/>
    </xf>
    <xf numFmtId="0" fontId="5" fillId="2" borderId="26" xfId="0" applyNumberFormat="1" applyFont="1" applyFill="1" applyBorder="1" applyAlignment="1" applyProtection="1">
      <alignment horizontal="left" vertical="center" wrapText="1"/>
      <protection/>
    </xf>
    <xf numFmtId="0" fontId="5" fillId="0" borderId="27" xfId="0" applyNumberFormat="1" applyFont="1" applyFill="1" applyBorder="1" applyAlignment="1" applyProtection="1">
      <alignment horizontal="left" vertical="center" wrapText="1"/>
      <protection/>
    </xf>
    <xf numFmtId="0" fontId="27" fillId="8" borderId="28" xfId="0" applyFont="1" applyFill="1" applyBorder="1" applyAlignment="1">
      <alignment vertical="center" wrapText="1"/>
    </xf>
    <xf numFmtId="0" fontId="27" fillId="8" borderId="29" xfId="0" applyFont="1" applyFill="1" applyBorder="1" applyAlignment="1">
      <alignment vertical="center" wrapText="1"/>
    </xf>
    <xf numFmtId="172" fontId="5" fillId="0" borderId="24" xfId="0" applyNumberFormat="1" applyFont="1" applyFill="1" applyBorder="1" applyAlignment="1" applyProtection="1">
      <alignment vertical="center"/>
      <protection/>
    </xf>
    <xf numFmtId="172" fontId="5" fillId="0" borderId="24" xfId="0" applyNumberFormat="1" applyFont="1" applyFill="1" applyBorder="1" applyAlignment="1" applyProtection="1">
      <alignment vertical="center" wrapText="1"/>
      <protection/>
    </xf>
    <xf numFmtId="0" fontId="5" fillId="2" borderId="23" xfId="0" applyFont="1" applyFill="1" applyBorder="1" applyAlignment="1" applyProtection="1">
      <alignment horizontal="left" vertical="center" wrapText="1"/>
      <protection/>
    </xf>
    <xf numFmtId="0" fontId="9" fillId="0" borderId="30" xfId="0" applyFont="1" applyFill="1" applyBorder="1" applyAlignment="1" applyProtection="1">
      <alignment wrapText="1"/>
      <protection/>
    </xf>
    <xf numFmtId="172" fontId="5" fillId="0" borderId="31" xfId="0" applyNumberFormat="1" applyFont="1" applyFill="1" applyBorder="1" applyAlignment="1" applyProtection="1">
      <alignment vertical="center"/>
      <protection/>
    </xf>
    <xf numFmtId="175" fontId="5" fillId="0" borderId="24" xfId="0" applyNumberFormat="1" applyFont="1" applyFill="1" applyBorder="1" applyAlignment="1" applyProtection="1">
      <alignment vertical="center"/>
      <protection/>
    </xf>
    <xf numFmtId="176" fontId="5" fillId="0" borderId="24" xfId="0" applyNumberFormat="1" applyFont="1" applyFill="1" applyBorder="1" applyAlignment="1" applyProtection="1">
      <alignment vertical="center"/>
      <protection/>
    </xf>
    <xf numFmtId="0" fontId="9" fillId="0" borderId="32" xfId="0" applyFont="1" applyFill="1" applyBorder="1" applyAlignment="1" applyProtection="1">
      <alignment wrapText="1"/>
      <protection/>
    </xf>
    <xf numFmtId="172" fontId="5" fillId="0" borderId="33" xfId="0" applyNumberFormat="1" applyFont="1" applyFill="1" applyBorder="1" applyAlignment="1" applyProtection="1">
      <alignment vertical="center"/>
      <protection/>
    </xf>
    <xf numFmtId="173" fontId="5" fillId="2" borderId="25" xfId="0" applyNumberFormat="1" applyFont="1" applyFill="1" applyBorder="1" applyAlignment="1" applyProtection="1">
      <alignment vertical="center" wrapText="1"/>
      <protection/>
    </xf>
    <xf numFmtId="0" fontId="29" fillId="16" borderId="13" xfId="0" applyFont="1" applyFill="1" applyBorder="1" applyAlignment="1">
      <alignment vertical="top" wrapText="1"/>
    </xf>
    <xf numFmtId="173" fontId="5" fillId="8" borderId="34" xfId="0" applyNumberFormat="1" applyFont="1" applyFill="1" applyBorder="1" applyAlignment="1" applyProtection="1">
      <alignment vertical="center"/>
      <protection/>
    </xf>
    <xf numFmtId="0" fontId="5" fillId="2" borderId="35" xfId="0" applyFont="1" applyFill="1" applyBorder="1" applyAlignment="1" applyProtection="1">
      <alignment vertical="center" wrapText="1"/>
      <protection/>
    </xf>
    <xf numFmtId="172" fontId="5" fillId="0" borderId="36" xfId="0" applyNumberFormat="1" applyFont="1" applyFill="1" applyBorder="1" applyAlignment="1" applyProtection="1">
      <alignment vertical="center"/>
      <protection/>
    </xf>
    <xf numFmtId="0" fontId="30" fillId="8" borderId="28" xfId="0" applyFont="1" applyFill="1" applyBorder="1" applyAlignment="1" applyProtection="1">
      <alignment vertical="center" wrapText="1"/>
      <protection/>
    </xf>
    <xf numFmtId="172" fontId="5" fillId="8" borderId="29" xfId="0" applyNumberFormat="1" applyFont="1" applyFill="1" applyBorder="1" applyAlignment="1" applyProtection="1">
      <alignment vertical="center"/>
      <protection/>
    </xf>
    <xf numFmtId="0" fontId="9" fillId="0" borderId="0" xfId="0" applyFont="1" applyFill="1" applyBorder="1" applyAlignment="1" applyProtection="1">
      <alignment vertical="center" wrapText="1"/>
      <protection/>
    </xf>
    <xf numFmtId="0" fontId="5" fillId="2" borderId="37" xfId="0" applyFont="1" applyFill="1" applyBorder="1" applyAlignment="1" applyProtection="1">
      <alignment vertical="center" wrapText="1"/>
      <protection/>
    </xf>
    <xf numFmtId="49" fontId="5" fillId="0" borderId="38" xfId="0" applyNumberFormat="1" applyFont="1" applyFill="1" applyBorder="1" applyAlignment="1" applyProtection="1">
      <alignment vertical="center" wrapText="1"/>
      <protection/>
    </xf>
    <xf numFmtId="40" fontId="5" fillId="0" borderId="24" xfId="38" applyNumberFormat="1" applyFont="1" applyFill="1" applyBorder="1" applyAlignment="1" applyProtection="1">
      <alignment vertical="center"/>
      <protection/>
    </xf>
    <xf numFmtId="0" fontId="5" fillId="0" borderId="39" xfId="0" applyFont="1" applyFill="1" applyBorder="1" applyAlignment="1" applyProtection="1">
      <alignment vertical="center" wrapText="1"/>
      <protection/>
    </xf>
    <xf numFmtId="172" fontId="5" fillId="0" borderId="40" xfId="0" applyNumberFormat="1" applyFont="1" applyFill="1" applyBorder="1" applyAlignment="1" applyProtection="1">
      <alignment vertical="center"/>
      <protection/>
    </xf>
    <xf numFmtId="172" fontId="23" fillId="8" borderId="31" xfId="0" applyNumberFormat="1" applyFont="1" applyFill="1" applyBorder="1" applyAlignment="1" applyProtection="1">
      <alignment vertical="center"/>
      <protection/>
    </xf>
    <xf numFmtId="0" fontId="14" fillId="0" borderId="30" xfId="0" applyFont="1" applyFill="1" applyBorder="1" applyAlignment="1" applyProtection="1">
      <alignment vertical="center" wrapText="1"/>
      <protection/>
    </xf>
    <xf numFmtId="172" fontId="23" fillId="0" borderId="31" xfId="0" applyNumberFormat="1" applyFont="1" applyFill="1" applyBorder="1" applyAlignment="1" applyProtection="1">
      <alignment vertical="center"/>
      <protection/>
    </xf>
    <xf numFmtId="0" fontId="22" fillId="0" borderId="30" xfId="0" applyFont="1" applyFill="1" applyBorder="1" applyAlignment="1" applyProtection="1">
      <alignment vertical="center" wrapText="1"/>
      <protection/>
    </xf>
    <xf numFmtId="0" fontId="16" fillId="0" borderId="30" xfId="0" applyFont="1" applyFill="1" applyBorder="1" applyAlignment="1" applyProtection="1">
      <alignment vertical="center" wrapText="1"/>
      <protection/>
    </xf>
    <xf numFmtId="0" fontId="5" fillId="0" borderId="30" xfId="0" applyFont="1" applyFill="1" applyBorder="1" applyAlignment="1" applyProtection="1">
      <alignment horizontal="left" vertical="center" wrapText="1"/>
      <protection/>
    </xf>
    <xf numFmtId="2" fontId="5" fillId="0" borderId="31" xfId="0" applyNumberFormat="1" applyFont="1" applyFill="1" applyBorder="1" applyAlignment="1" applyProtection="1">
      <alignment horizontal="right" vertical="center" wrapText="1"/>
      <protection/>
    </xf>
    <xf numFmtId="0" fontId="16" fillId="0" borderId="30" xfId="0" applyFont="1" applyFill="1" applyBorder="1" applyAlignment="1" applyProtection="1">
      <alignment horizontal="left" vertical="center" wrapText="1"/>
      <protection/>
    </xf>
    <xf numFmtId="0" fontId="16" fillId="0" borderId="31" xfId="0" applyFont="1" applyFill="1" applyBorder="1" applyAlignment="1" applyProtection="1">
      <alignment horizontal="left" vertical="center" wrapText="1"/>
      <protection/>
    </xf>
    <xf numFmtId="173" fontId="5" fillId="2" borderId="23" xfId="0" applyNumberFormat="1" applyFont="1" applyFill="1" applyBorder="1" applyAlignment="1" applyProtection="1">
      <alignment vertical="center" wrapText="1"/>
      <protection/>
    </xf>
    <xf numFmtId="173" fontId="5" fillId="0" borderId="24" xfId="0" applyNumberFormat="1" applyFont="1" applyFill="1" applyBorder="1" applyAlignment="1" applyProtection="1">
      <alignment vertical="center" wrapText="1"/>
      <protection/>
    </xf>
    <xf numFmtId="0" fontId="16" fillId="0" borderId="32" xfId="0" applyFont="1" applyFill="1" applyBorder="1" applyAlignment="1" applyProtection="1">
      <alignment vertical="center" wrapText="1"/>
      <protection/>
    </xf>
    <xf numFmtId="0" fontId="27" fillId="8" borderId="30" xfId="0" applyFont="1" applyFill="1" applyBorder="1" applyAlignment="1" applyProtection="1">
      <alignment vertical="center" wrapText="1"/>
      <protection/>
    </xf>
    <xf numFmtId="0" fontId="5" fillId="4" borderId="10" xfId="0" applyFont="1" applyFill="1" applyBorder="1" applyAlignment="1">
      <alignment horizontal="right" vertical="center" wrapText="1"/>
    </xf>
    <xf numFmtId="0" fontId="5" fillId="0" borderId="0" xfId="0" applyFont="1" applyAlignment="1">
      <alignment horizontal="left" vertical="center"/>
    </xf>
    <xf numFmtId="0" fontId="5" fillId="4" borderId="10" xfId="0" applyFont="1" applyFill="1" applyBorder="1" applyAlignment="1">
      <alignment horizontal="left" vertical="center" wrapText="1"/>
    </xf>
    <xf numFmtId="0" fontId="5" fillId="16" borderId="10" xfId="0" applyFont="1" applyFill="1" applyBorder="1" applyAlignment="1">
      <alignment horizontal="center" vertical="center"/>
    </xf>
    <xf numFmtId="0" fontId="9" fillId="0" borderId="0" xfId="0" applyFont="1" applyAlignment="1" applyProtection="1">
      <alignment vertical="center" wrapText="1"/>
      <protection/>
    </xf>
    <xf numFmtId="38" fontId="5" fillId="19" borderId="41" xfId="0" applyNumberFormat="1" applyFont="1" applyFill="1" applyBorder="1" applyAlignment="1">
      <alignment vertical="center" wrapText="1"/>
    </xf>
    <xf numFmtId="38" fontId="5" fillId="19" borderId="42" xfId="0" applyNumberFormat="1" applyFont="1" applyFill="1" applyBorder="1" applyAlignment="1" applyProtection="1">
      <alignment vertical="center"/>
      <protection locked="0"/>
    </xf>
    <xf numFmtId="0" fontId="5" fillId="19" borderId="41" xfId="0" applyFont="1" applyFill="1" applyBorder="1" applyAlignment="1">
      <alignment vertical="center" wrapText="1"/>
    </xf>
    <xf numFmtId="172" fontId="5" fillId="19" borderId="42" xfId="0" applyNumberFormat="1" applyFont="1" applyFill="1" applyBorder="1" applyAlignment="1" applyProtection="1">
      <alignment vertical="center"/>
      <protection locked="0"/>
    </xf>
    <xf numFmtId="176" fontId="5" fillId="11" borderId="42" xfId="0" applyNumberFormat="1" applyFont="1" applyFill="1" applyBorder="1" applyAlignment="1" applyProtection="1">
      <alignment horizontal="right" vertical="center"/>
      <protection/>
    </xf>
    <xf numFmtId="176" fontId="5" fillId="19" borderId="42" xfId="0" applyNumberFormat="1" applyFont="1" applyFill="1" applyBorder="1" applyAlignment="1" applyProtection="1">
      <alignment vertical="center"/>
      <protection locked="0"/>
    </xf>
    <xf numFmtId="0" fontId="5" fillId="0" borderId="41" xfId="0" applyFont="1" applyFill="1" applyBorder="1" applyAlignment="1" applyProtection="1">
      <alignment vertical="center" wrapText="1"/>
      <protection/>
    </xf>
    <xf numFmtId="176" fontId="5" fillId="0" borderId="42" xfId="0" applyNumberFormat="1" applyFont="1" applyFill="1" applyBorder="1" applyAlignment="1" applyProtection="1">
      <alignment vertical="center"/>
      <protection/>
    </xf>
    <xf numFmtId="173" fontId="5" fillId="0" borderId="41" xfId="0" applyNumberFormat="1" applyFont="1" applyFill="1" applyBorder="1" applyAlignment="1">
      <alignment vertical="center" wrapText="1"/>
    </xf>
    <xf numFmtId="173" fontId="5" fillId="8" borderId="43" xfId="0" applyNumberFormat="1" applyFont="1" applyFill="1" applyBorder="1" applyAlignment="1">
      <alignment vertical="center"/>
    </xf>
    <xf numFmtId="0" fontId="5" fillId="19" borderId="41" xfId="0" applyFont="1" applyFill="1" applyBorder="1" applyAlignment="1" applyProtection="1">
      <alignment vertical="center" wrapText="1"/>
      <protection/>
    </xf>
    <xf numFmtId="0" fontId="5" fillId="0" borderId="41" xfId="0" applyFont="1" applyFill="1" applyBorder="1" applyAlignment="1">
      <alignment vertical="center" wrapText="1"/>
    </xf>
    <xf numFmtId="0" fontId="5" fillId="0" borderId="44" xfId="0" applyFont="1" applyFill="1" applyBorder="1" applyAlignment="1">
      <alignment vertical="center" wrapText="1"/>
    </xf>
    <xf numFmtId="40" fontId="9" fillId="0" borderId="10" xfId="38" applyNumberFormat="1" applyFont="1" applyFill="1" applyBorder="1" applyAlignment="1">
      <alignment vertical="center"/>
    </xf>
    <xf numFmtId="40" fontId="9" fillId="0" borderId="42" xfId="38" applyNumberFormat="1" applyFont="1" applyFill="1" applyBorder="1" applyAlignment="1">
      <alignment vertical="center"/>
    </xf>
    <xf numFmtId="40" fontId="9" fillId="0" borderId="45" xfId="38" applyNumberFormat="1" applyFont="1" applyFill="1" applyBorder="1" applyAlignment="1">
      <alignment vertical="center"/>
    </xf>
    <xf numFmtId="40" fontId="9" fillId="0" borderId="46" xfId="38" applyNumberFormat="1" applyFont="1" applyFill="1" applyBorder="1" applyAlignment="1">
      <alignment vertical="center"/>
    </xf>
    <xf numFmtId="175" fontId="9" fillId="0" borderId="10" xfId="0" applyNumberFormat="1" applyFont="1" applyFill="1" applyBorder="1" applyAlignment="1" applyProtection="1">
      <alignment vertical="center"/>
      <protection/>
    </xf>
    <xf numFmtId="175" fontId="9" fillId="0" borderId="42" xfId="0" applyNumberFormat="1" applyFont="1" applyFill="1" applyBorder="1" applyAlignment="1" applyProtection="1">
      <alignment vertical="center"/>
      <protection/>
    </xf>
    <xf numFmtId="0" fontId="9" fillId="0" borderId="0" xfId="0" applyFont="1" applyFill="1" applyBorder="1" applyAlignment="1">
      <alignment horizontal="center" vertical="center"/>
    </xf>
    <xf numFmtId="0" fontId="31" fillId="0" borderId="0" xfId="0" applyFont="1" applyAlignment="1">
      <alignment vertical="center"/>
    </xf>
    <xf numFmtId="0" fontId="5" fillId="0" borderId="0" xfId="0" applyFont="1" applyFill="1" applyAlignment="1">
      <alignment horizontal="center" vertical="center"/>
    </xf>
    <xf numFmtId="0" fontId="5" fillId="0" borderId="10" xfId="0" applyFont="1" applyBorder="1" applyAlignment="1">
      <alignment horizontal="right" vertical="center"/>
    </xf>
    <xf numFmtId="0" fontId="5" fillId="10" borderId="10" xfId="0" applyFont="1" applyFill="1" applyBorder="1" applyAlignment="1">
      <alignment horizontal="center" vertical="center"/>
    </xf>
    <xf numFmtId="2" fontId="5" fillId="0" borderId="10" xfId="0" applyNumberFormat="1" applyFont="1" applyFill="1" applyBorder="1" applyAlignment="1">
      <alignment vertical="center"/>
    </xf>
    <xf numFmtId="173" fontId="9" fillId="0" borderId="10" xfId="0" applyNumberFormat="1" applyFont="1" applyFill="1" applyBorder="1" applyAlignment="1">
      <alignment vertical="center"/>
    </xf>
    <xf numFmtId="173" fontId="9" fillId="0" borderId="10" xfId="0" applyNumberFormat="1" applyFont="1" applyFill="1" applyBorder="1" applyAlignment="1">
      <alignment horizontal="right" vertical="center" wrapText="1"/>
    </xf>
    <xf numFmtId="40" fontId="9" fillId="0" borderId="10" xfId="38" applyNumberFormat="1" applyFont="1" applyFill="1" applyBorder="1" applyAlignment="1">
      <alignment horizontal="right" vertical="center" wrapText="1"/>
    </xf>
    <xf numFmtId="1" fontId="9" fillId="0" borderId="10" xfId="0" applyNumberFormat="1" applyFont="1" applyFill="1" applyBorder="1" applyAlignment="1">
      <alignment horizontal="right" vertical="center" wrapText="1"/>
    </xf>
    <xf numFmtId="172" fontId="22" fillId="0" borderId="10" xfId="0" applyNumberFormat="1" applyFont="1" applyFill="1" applyBorder="1" applyAlignment="1" applyProtection="1">
      <alignment vertical="center"/>
      <protection/>
    </xf>
    <xf numFmtId="0" fontId="32" fillId="0" borderId="0" xfId="0" applyFont="1" applyAlignment="1">
      <alignment horizontal="center" wrapText="1"/>
    </xf>
    <xf numFmtId="0" fontId="35" fillId="8" borderId="47" xfId="0" applyFont="1" applyFill="1" applyBorder="1" applyAlignment="1">
      <alignment horizontal="center" vertical="center" wrapText="1"/>
    </xf>
    <xf numFmtId="172" fontId="13" fillId="8" borderId="48" xfId="0" applyNumberFormat="1" applyFont="1" applyFill="1" applyBorder="1" applyAlignment="1" applyProtection="1">
      <alignment horizontal="center" vertical="center" wrapText="1"/>
      <protection locked="0"/>
    </xf>
    <xf numFmtId="172" fontId="13" fillId="8" borderId="49" xfId="0" applyNumberFormat="1" applyFont="1" applyFill="1" applyBorder="1" applyAlignment="1" applyProtection="1">
      <alignment horizontal="center" vertical="center" wrapText="1"/>
      <protection locked="0"/>
    </xf>
    <xf numFmtId="173" fontId="34" fillId="8" borderId="50" xfId="0" applyNumberFormat="1" applyFont="1" applyFill="1" applyBorder="1" applyAlignment="1">
      <alignment vertical="center" wrapText="1"/>
    </xf>
    <xf numFmtId="0" fontId="5" fillId="0" borderId="10" xfId="0" applyFont="1" applyFill="1" applyBorder="1" applyAlignment="1" applyProtection="1">
      <alignment vertical="distributed" wrapText="1"/>
      <protection/>
    </xf>
    <xf numFmtId="0" fontId="31" fillId="8" borderId="10" xfId="0" applyFont="1" applyFill="1" applyBorder="1" applyAlignment="1">
      <alignment vertical="center" wrapText="1"/>
    </xf>
    <xf numFmtId="40" fontId="31" fillId="8" borderId="10" xfId="38" applyNumberFormat="1" applyFont="1" applyFill="1" applyBorder="1" applyAlignment="1">
      <alignment vertical="center"/>
    </xf>
    <xf numFmtId="0" fontId="23" fillId="4" borderId="22" xfId="0" applyFont="1" applyFill="1" applyBorder="1" applyAlignment="1">
      <alignment vertical="center" wrapText="1"/>
    </xf>
    <xf numFmtId="38" fontId="5" fillId="0" borderId="10" xfId="38" applyNumberFormat="1" applyFont="1" applyBorder="1" applyAlignment="1">
      <alignment vertical="center"/>
    </xf>
    <xf numFmtId="179" fontId="5" fillId="0" borderId="10" xfId="0" applyNumberFormat="1" applyFont="1" applyBorder="1" applyAlignment="1">
      <alignment vertical="center"/>
    </xf>
    <xf numFmtId="4" fontId="5" fillId="0" borderId="0" xfId="0" applyNumberFormat="1" applyFont="1" applyAlignment="1">
      <alignment vertical="center"/>
    </xf>
    <xf numFmtId="4" fontId="23" fillId="0" borderId="0" xfId="0" applyNumberFormat="1" applyFont="1" applyFill="1" applyBorder="1" applyAlignment="1">
      <alignment horizontal="left" vertical="center" wrapText="1"/>
    </xf>
    <xf numFmtId="4" fontId="9" fillId="0" borderId="0" xfId="0" applyNumberFormat="1" applyFont="1" applyFill="1" applyBorder="1" applyAlignment="1">
      <alignment horizontal="center" vertical="center" wrapText="1"/>
    </xf>
    <xf numFmtId="4" fontId="5" fillId="4" borderId="10" xfId="0" applyNumberFormat="1" applyFont="1" applyFill="1" applyBorder="1" applyAlignment="1">
      <alignment vertical="center" wrapText="1"/>
    </xf>
    <xf numFmtId="4" fontId="5" fillId="4" borderId="10" xfId="0" applyNumberFormat="1" applyFont="1" applyFill="1" applyBorder="1" applyAlignment="1">
      <alignment horizontal="right" vertical="center" wrapText="1"/>
    </xf>
    <xf numFmtId="4" fontId="5" fillId="0" borderId="0" xfId="0" applyNumberFormat="1" applyFont="1" applyAlignment="1">
      <alignment horizontal="left" vertical="center"/>
    </xf>
    <xf numFmtId="4" fontId="5" fillId="4" borderId="10" xfId="0" applyNumberFormat="1" applyFont="1" applyFill="1" applyBorder="1" applyAlignment="1">
      <alignment horizontal="left" vertical="center" wrapText="1"/>
    </xf>
    <xf numFmtId="4" fontId="5" fillId="0" borderId="0" xfId="0" applyNumberFormat="1" applyFont="1" applyFill="1" applyBorder="1" applyAlignment="1">
      <alignment horizontal="left" vertical="center" wrapText="1"/>
    </xf>
    <xf numFmtId="4" fontId="5" fillId="0" borderId="0" xfId="0" applyNumberFormat="1" applyFont="1" applyFill="1" applyBorder="1" applyAlignment="1">
      <alignment horizontal="right" vertical="center" wrapText="1"/>
    </xf>
    <xf numFmtId="4" fontId="5" fillId="0" borderId="0" xfId="0" applyNumberFormat="1" applyFont="1" applyAlignment="1">
      <alignment horizontal="center" vertical="center"/>
    </xf>
    <xf numFmtId="4" fontId="5" fillId="0" borderId="10" xfId="0" applyNumberFormat="1" applyFont="1" applyBorder="1" applyAlignment="1">
      <alignment horizontal="center" vertical="center"/>
    </xf>
    <xf numFmtId="4" fontId="5" fillId="0" borderId="10" xfId="0" applyNumberFormat="1" applyFont="1" applyBorder="1" applyAlignment="1">
      <alignment horizontal="center" vertical="center" wrapText="1"/>
    </xf>
    <xf numFmtId="4" fontId="5" fillId="8" borderId="10" xfId="0" applyNumberFormat="1" applyFont="1" applyFill="1" applyBorder="1" applyAlignment="1">
      <alignment horizontal="center" vertical="center" wrapText="1"/>
    </xf>
    <xf numFmtId="4" fontId="5" fillId="8" borderId="10" xfId="0" applyNumberFormat="1" applyFont="1" applyFill="1" applyBorder="1" applyAlignment="1">
      <alignment horizontal="center" vertical="center"/>
    </xf>
    <xf numFmtId="4" fontId="5" fillId="10" borderId="51" xfId="0" applyNumberFormat="1" applyFont="1" applyFill="1" applyBorder="1" applyAlignment="1">
      <alignment horizontal="center" vertical="center" wrapText="1"/>
    </xf>
    <xf numFmtId="4" fontId="5" fillId="0" borderId="51" xfId="0" applyNumberFormat="1" applyFont="1" applyBorder="1" applyAlignment="1">
      <alignment vertical="center"/>
    </xf>
    <xf numFmtId="4" fontId="5" fillId="2" borderId="10" xfId="0" applyNumberFormat="1" applyFont="1" applyFill="1" applyBorder="1" applyAlignment="1">
      <alignment vertical="center"/>
    </xf>
    <xf numFmtId="4" fontId="5" fillId="0" borderId="10" xfId="0" applyNumberFormat="1" applyFont="1" applyBorder="1" applyAlignment="1">
      <alignment vertical="center"/>
    </xf>
    <xf numFmtId="4" fontId="5" fillId="4" borderId="10" xfId="0" applyNumberFormat="1" applyFont="1" applyFill="1" applyBorder="1" applyAlignment="1">
      <alignment horizontal="center" vertical="center"/>
    </xf>
    <xf numFmtId="4" fontId="5" fillId="0" borderId="10" xfId="0" applyNumberFormat="1" applyFont="1" applyBorder="1" applyAlignment="1">
      <alignment horizontal="right" vertical="center"/>
    </xf>
    <xf numFmtId="4" fontId="5" fillId="4" borderId="10" xfId="0" applyNumberFormat="1" applyFont="1" applyFill="1" applyBorder="1" applyAlignment="1">
      <alignment horizontal="center" vertical="center" wrapText="1"/>
    </xf>
    <xf numFmtId="4" fontId="5" fillId="16" borderId="10" xfId="0" applyNumberFormat="1" applyFont="1" applyFill="1" applyBorder="1" applyAlignment="1">
      <alignment horizontal="center" vertical="center" wrapText="1"/>
    </xf>
    <xf numFmtId="4" fontId="5" fillId="16" borderId="10" xfId="0" applyNumberFormat="1" applyFont="1" applyFill="1" applyBorder="1" applyAlignment="1">
      <alignment horizontal="center" vertical="center"/>
    </xf>
    <xf numFmtId="0" fontId="36" fillId="0" borderId="0" xfId="0" applyFont="1" applyAlignment="1">
      <alignment vertical="center" wrapText="1"/>
    </xf>
    <xf numFmtId="0" fontId="11" fillId="20" borderId="12" xfId="0" applyFont="1" applyFill="1" applyBorder="1" applyAlignment="1">
      <alignment vertical="center" wrapText="1"/>
    </xf>
    <xf numFmtId="0" fontId="29" fillId="5" borderId="12" xfId="0" applyFont="1" applyFill="1" applyBorder="1" applyAlignment="1">
      <alignment vertical="top" wrapText="1"/>
    </xf>
    <xf numFmtId="38" fontId="23" fillId="0" borderId="0" xfId="0" applyNumberFormat="1" applyFont="1" applyAlignment="1" applyProtection="1">
      <alignment vertical="center"/>
      <protection/>
    </xf>
    <xf numFmtId="0" fontId="23" fillId="2" borderId="23" xfId="0" applyFont="1" applyFill="1" applyBorder="1" applyAlignment="1" applyProtection="1">
      <alignment vertical="center" wrapText="1"/>
      <protection/>
    </xf>
    <xf numFmtId="172" fontId="23" fillId="0" borderId="24" xfId="0" applyNumberFormat="1" applyFont="1" applyFill="1" applyBorder="1" applyAlignment="1" applyProtection="1">
      <alignment vertical="center" wrapText="1"/>
      <protection/>
    </xf>
    <xf numFmtId="173" fontId="23" fillId="0" borderId="52" xfId="0" applyNumberFormat="1" applyFont="1" applyFill="1" applyBorder="1" applyAlignment="1" applyProtection="1">
      <alignment vertical="center" wrapText="1"/>
      <protection/>
    </xf>
    <xf numFmtId="175" fontId="5" fillId="0" borderId="10" xfId="0" applyNumberFormat="1" applyFont="1" applyFill="1" applyBorder="1" applyAlignment="1" applyProtection="1">
      <alignment vertical="center" wrapText="1"/>
      <protection/>
    </xf>
    <xf numFmtId="0" fontId="23" fillId="19" borderId="10" xfId="0" applyFont="1" applyFill="1" applyBorder="1" applyAlignment="1">
      <alignment vertical="center" wrapText="1"/>
    </xf>
    <xf numFmtId="0" fontId="23" fillId="0" borderId="10" xfId="0" applyFont="1" applyFill="1" applyBorder="1" applyAlignment="1" applyProtection="1">
      <alignment vertical="center" wrapText="1"/>
      <protection/>
    </xf>
    <xf numFmtId="0" fontId="23" fillId="16" borderId="22" xfId="0" applyFont="1" applyFill="1" applyBorder="1" applyAlignment="1">
      <alignment vertical="center" wrapText="1"/>
    </xf>
    <xf numFmtId="4" fontId="23" fillId="0" borderId="10" xfId="0" applyNumberFormat="1" applyFont="1" applyBorder="1" applyAlignment="1">
      <alignment horizontal="center" vertical="center" wrapText="1"/>
    </xf>
    <xf numFmtId="4" fontId="23" fillId="2" borderId="10" xfId="0" applyNumberFormat="1" applyFont="1" applyFill="1" applyBorder="1" applyAlignment="1">
      <alignment horizontal="center" vertical="center" wrapText="1"/>
    </xf>
    <xf numFmtId="4" fontId="5" fillId="0" borderId="10" xfId="38" applyNumberFormat="1" applyFont="1" applyBorder="1" applyAlignment="1">
      <alignment vertical="center"/>
    </xf>
    <xf numFmtId="4" fontId="5" fillId="4" borderId="10" xfId="0" applyNumberFormat="1" applyFont="1" applyFill="1" applyBorder="1" applyAlignment="1">
      <alignment vertical="center"/>
    </xf>
    <xf numFmtId="0" fontId="18" fillId="0" borderId="0" xfId="0" applyFont="1" applyAlignment="1">
      <alignment horizontal="center" vertical="center" wrapText="1"/>
    </xf>
    <xf numFmtId="0" fontId="26" fillId="0" borderId="30" xfId="0" applyFont="1" applyFill="1" applyBorder="1" applyAlignment="1" applyProtection="1">
      <alignment vertical="center" wrapText="1"/>
      <protection/>
    </xf>
    <xf numFmtId="0" fontId="23" fillId="0" borderId="36" xfId="0" applyFont="1" applyFill="1" applyBorder="1" applyAlignment="1" applyProtection="1">
      <alignment horizontal="left" vertical="center" wrapText="1"/>
      <protection/>
    </xf>
    <xf numFmtId="0" fontId="23" fillId="0" borderId="53" xfId="0" applyFont="1" applyFill="1" applyBorder="1" applyAlignment="1" applyProtection="1">
      <alignment horizontal="left" vertical="center" wrapText="1"/>
      <protection/>
    </xf>
    <xf numFmtId="40" fontId="23" fillId="0" borderId="24" xfId="38" applyNumberFormat="1" applyFont="1" applyFill="1" applyBorder="1" applyAlignment="1" applyProtection="1">
      <alignment vertical="center"/>
      <protection/>
    </xf>
    <xf numFmtId="4" fontId="5" fillId="2" borderId="10"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xf>
    <xf numFmtId="0" fontId="20" fillId="0" borderId="32" xfId="0" applyFont="1" applyFill="1" applyBorder="1" applyAlignment="1" applyProtection="1">
      <alignment vertical="center" wrapText="1"/>
      <protection/>
    </xf>
    <xf numFmtId="0" fontId="5" fillId="0" borderId="33" xfId="0" applyFont="1" applyFill="1" applyBorder="1" applyAlignment="1" applyProtection="1">
      <alignment vertical="center" wrapText="1"/>
      <protection/>
    </xf>
    <xf numFmtId="175" fontId="1" fillId="11" borderId="10" xfId="0" applyNumberFormat="1" applyFont="1" applyFill="1" applyBorder="1" applyAlignment="1" applyProtection="1">
      <alignment vertical="center"/>
      <protection/>
    </xf>
    <xf numFmtId="0" fontId="5" fillId="11" borderId="24" xfId="0" applyNumberFormat="1" applyFont="1" applyFill="1" applyBorder="1" applyAlignment="1" applyProtection="1">
      <alignment vertical="center" wrapText="1"/>
      <protection/>
    </xf>
    <xf numFmtId="0" fontId="29" fillId="5" borderId="54" xfId="0" applyFont="1" applyFill="1" applyBorder="1" applyAlignment="1">
      <alignment vertical="top" wrapText="1"/>
    </xf>
    <xf numFmtId="173" fontId="1" fillId="0" borderId="10" xfId="0" applyNumberFormat="1" applyFont="1" applyFill="1" applyBorder="1" applyAlignment="1">
      <alignment horizontal="right" vertical="center" wrapText="1"/>
    </xf>
    <xf numFmtId="0" fontId="5" fillId="8" borderId="11" xfId="0" applyFont="1" applyFill="1" applyBorder="1" applyAlignment="1">
      <alignment horizontal="center" vertical="center" wrapText="1"/>
    </xf>
    <xf numFmtId="0" fontId="5" fillId="8" borderId="22" xfId="0" applyFont="1" applyFill="1" applyBorder="1" applyAlignment="1">
      <alignment horizontal="center" vertical="center" wrapText="1"/>
    </xf>
    <xf numFmtId="176" fontId="5" fillId="11" borderId="10" xfId="0" applyNumberFormat="1" applyFont="1" applyFill="1" applyBorder="1" applyAlignment="1" applyProtection="1">
      <alignment vertical="center"/>
      <protection locked="0"/>
    </xf>
    <xf numFmtId="0" fontId="23" fillId="0" borderId="0" xfId="0" applyFont="1" applyAlignment="1">
      <alignment vertical="top" wrapText="1"/>
    </xf>
    <xf numFmtId="0" fontId="36" fillId="0" borderId="0" xfId="0" applyFont="1" applyAlignment="1">
      <alignment horizontal="left" wrapText="1"/>
    </xf>
    <xf numFmtId="0" fontId="46" fillId="0" borderId="0" xfId="0" applyFont="1" applyFill="1" applyBorder="1" applyAlignment="1">
      <alignment horizontal="left" vertical="center" wrapText="1"/>
    </xf>
    <xf numFmtId="0" fontId="46" fillId="0" borderId="18" xfId="0" applyFont="1" applyFill="1" applyBorder="1" applyAlignment="1">
      <alignment vertical="center" wrapText="1"/>
    </xf>
    <xf numFmtId="0" fontId="46" fillId="0" borderId="0" xfId="0" applyFont="1" applyFill="1" applyBorder="1" applyAlignment="1">
      <alignment vertical="center" wrapText="1"/>
    </xf>
    <xf numFmtId="4" fontId="22" fillId="0" borderId="10" xfId="0" applyNumberFormat="1" applyFont="1" applyFill="1" applyBorder="1" applyAlignment="1" applyProtection="1">
      <alignment vertical="center"/>
      <protection/>
    </xf>
    <xf numFmtId="4" fontId="9" fillId="0" borderId="10" xfId="0" applyNumberFormat="1" applyFont="1" applyFill="1" applyBorder="1" applyAlignment="1" applyProtection="1">
      <alignment vertical="center"/>
      <protection/>
    </xf>
    <xf numFmtId="0" fontId="5" fillId="8" borderId="10" xfId="0" applyFont="1" applyFill="1" applyBorder="1" applyAlignment="1">
      <alignment horizontal="center" vertical="center" wrapText="1"/>
    </xf>
    <xf numFmtId="0" fontId="5" fillId="11" borderId="10"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0" xfId="0" applyFont="1" applyFill="1" applyBorder="1" applyAlignment="1">
      <alignment vertical="center" wrapText="1"/>
    </xf>
    <xf numFmtId="0" fontId="0" fillId="11" borderId="0" xfId="0" applyFill="1" applyAlignment="1">
      <alignment vertical="center"/>
    </xf>
    <xf numFmtId="0" fontId="5" fillId="10" borderId="55" xfId="0" applyFont="1" applyFill="1" applyBorder="1" applyAlignment="1">
      <alignment vertical="top" wrapText="1"/>
    </xf>
    <xf numFmtId="0" fontId="9" fillId="10" borderId="55" xfId="0" applyFont="1" applyFill="1" applyBorder="1" applyAlignment="1">
      <alignment vertical="top" wrapText="1"/>
    </xf>
    <xf numFmtId="0" fontId="5" fillId="10" borderId="22" xfId="0" applyFont="1" applyFill="1" applyBorder="1" applyAlignment="1">
      <alignment vertical="top" wrapText="1"/>
    </xf>
    <xf numFmtId="0" fontId="9" fillId="10" borderId="11" xfId="0" applyFont="1" applyFill="1" applyBorder="1" applyAlignment="1">
      <alignment vertical="top" wrapText="1"/>
    </xf>
    <xf numFmtId="172" fontId="23" fillId="11" borderId="24" xfId="0" applyNumberFormat="1" applyFont="1" applyFill="1" applyBorder="1" applyAlignment="1" applyProtection="1">
      <alignment vertical="center" wrapText="1"/>
      <protection/>
    </xf>
    <xf numFmtId="0" fontId="23" fillId="10" borderId="55" xfId="0" applyFont="1" applyFill="1" applyBorder="1" applyAlignment="1">
      <alignment vertical="top" wrapText="1"/>
    </xf>
    <xf numFmtId="0" fontId="11" fillId="2" borderId="56" xfId="0" applyFont="1" applyFill="1" applyBorder="1" applyAlignment="1">
      <alignment vertical="center" wrapText="1"/>
    </xf>
    <xf numFmtId="0" fontId="11" fillId="15" borderId="12" xfId="0" applyFont="1" applyFill="1" applyBorder="1" applyAlignment="1">
      <alignment vertical="center" wrapText="1"/>
    </xf>
    <xf numFmtId="0" fontId="11" fillId="3" borderId="12" xfId="0" applyFont="1" applyFill="1" applyBorder="1" applyAlignment="1">
      <alignment vertical="center" wrapText="1"/>
    </xf>
    <xf numFmtId="0" fontId="11" fillId="10" borderId="12" xfId="0" applyFont="1" applyFill="1" applyBorder="1" applyAlignment="1">
      <alignment vertical="center" wrapText="1"/>
    </xf>
    <xf numFmtId="0" fontId="11" fillId="21" borderId="12" xfId="0" applyFont="1" applyFill="1" applyBorder="1" applyAlignment="1">
      <alignment vertical="center" wrapText="1"/>
    </xf>
    <xf numFmtId="0" fontId="11" fillId="16" borderId="12" xfId="0" applyFont="1" applyFill="1" applyBorder="1" applyAlignment="1">
      <alignment vertical="center" wrapText="1"/>
    </xf>
    <xf numFmtId="0" fontId="11" fillId="22" borderId="12" xfId="0" applyFont="1" applyFill="1" applyBorder="1" applyAlignment="1">
      <alignment vertical="center" wrapText="1"/>
    </xf>
    <xf numFmtId="0" fontId="11" fillId="23" borderId="12" xfId="0" applyFont="1" applyFill="1" applyBorder="1" applyAlignment="1">
      <alignment vertical="center"/>
    </xf>
    <xf numFmtId="0" fontId="11" fillId="24" borderId="54" xfId="0" applyFont="1" applyFill="1" applyBorder="1" applyAlignment="1">
      <alignment vertical="center"/>
    </xf>
    <xf numFmtId="0" fontId="11" fillId="11" borderId="0" xfId="0" applyFont="1" applyFill="1" applyBorder="1" applyAlignment="1">
      <alignment vertical="center"/>
    </xf>
    <xf numFmtId="172" fontId="5" fillId="11" borderId="24" xfId="0" applyNumberFormat="1" applyFont="1" applyFill="1" applyBorder="1" applyAlignment="1" applyProtection="1">
      <alignment vertical="center" wrapText="1"/>
      <protection/>
    </xf>
    <xf numFmtId="0" fontId="23" fillId="0" borderId="36" xfId="0" applyNumberFormat="1" applyFont="1" applyFill="1" applyBorder="1" applyAlignment="1" applyProtection="1">
      <alignment vertical="center" wrapText="1"/>
      <protection/>
    </xf>
    <xf numFmtId="38" fontId="5" fillId="0" borderId="0" xfId="0" applyNumberFormat="1" applyFont="1" applyAlignment="1">
      <alignment horizontal="center" vertical="center"/>
    </xf>
    <xf numFmtId="180" fontId="9" fillId="0" borderId="10" xfId="0" applyNumberFormat="1" applyFont="1" applyBorder="1" applyAlignment="1">
      <alignment horizontal="right" vertical="center"/>
    </xf>
    <xf numFmtId="173" fontId="9" fillId="0" borderId="10" xfId="0" applyNumberFormat="1" applyFont="1" applyFill="1" applyBorder="1" applyAlignment="1">
      <alignment vertical="center" wrapText="1"/>
    </xf>
    <xf numFmtId="173" fontId="51" fillId="0" borderId="11" xfId="0" applyNumberFormat="1" applyFont="1" applyFill="1" applyBorder="1" applyAlignment="1">
      <alignment vertical="center" wrapText="1"/>
    </xf>
    <xf numFmtId="173" fontId="9" fillId="0" borderId="22" xfId="0" applyNumberFormat="1" applyFont="1" applyFill="1" applyBorder="1" applyAlignment="1">
      <alignment vertical="center" wrapText="1"/>
    </xf>
    <xf numFmtId="173" fontId="9" fillId="0" borderId="10" xfId="0" applyNumberFormat="1" applyFont="1" applyFill="1" applyBorder="1" applyAlignment="1">
      <alignment horizontal="right" vertical="center"/>
    </xf>
    <xf numFmtId="40" fontId="5" fillId="0" borderId="0" xfId="38" applyNumberFormat="1" applyFont="1" applyFill="1" applyBorder="1" applyAlignment="1">
      <alignment vertical="center"/>
    </xf>
    <xf numFmtId="40" fontId="5" fillId="0" borderId="18" xfId="38" applyNumberFormat="1" applyFont="1" applyFill="1" applyBorder="1" applyAlignment="1">
      <alignment vertical="center"/>
    </xf>
    <xf numFmtId="0" fontId="3" fillId="0" borderId="0" xfId="0" applyFont="1" applyFill="1" applyBorder="1" applyAlignment="1">
      <alignment vertical="center" wrapText="1"/>
    </xf>
    <xf numFmtId="40" fontId="1" fillId="0" borderId="0" xfId="38" applyNumberFormat="1" applyFont="1" applyFill="1" applyBorder="1" applyAlignment="1">
      <alignment vertical="center"/>
    </xf>
    <xf numFmtId="173" fontId="5" fillId="0" borderId="50" xfId="0" applyNumberFormat="1" applyFont="1" applyFill="1" applyBorder="1" applyAlignment="1">
      <alignment vertical="center" wrapText="1"/>
    </xf>
    <xf numFmtId="173" fontId="5" fillId="0" borderId="43" xfId="0" applyNumberFormat="1" applyFont="1" applyBorder="1" applyAlignment="1">
      <alignment vertical="center"/>
    </xf>
    <xf numFmtId="181" fontId="9" fillId="0" borderId="10" xfId="37" applyNumberFormat="1" applyFont="1" applyFill="1" applyBorder="1" applyAlignment="1">
      <alignment horizontal="left" vertical="center" wrapText="1" indent="2"/>
    </xf>
    <xf numFmtId="0" fontId="31" fillId="0" borderId="0" xfId="0" applyFont="1" applyFill="1" applyBorder="1" applyAlignment="1">
      <alignment vertical="center" wrapText="1"/>
    </xf>
    <xf numFmtId="40" fontId="31" fillId="0" borderId="0" xfId="38" applyNumberFormat="1" applyFont="1" applyFill="1" applyBorder="1" applyAlignment="1">
      <alignment vertical="center"/>
    </xf>
    <xf numFmtId="175" fontId="5" fillId="19" borderId="42" xfId="0" applyNumberFormat="1" applyFont="1" applyFill="1" applyBorder="1" applyAlignment="1" applyProtection="1">
      <alignment vertical="center"/>
      <protection locked="0"/>
    </xf>
    <xf numFmtId="173" fontId="9" fillId="0" borderId="42" xfId="0" applyNumberFormat="1" applyFont="1" applyFill="1" applyBorder="1" applyAlignment="1">
      <alignment vertical="center" wrapText="1"/>
    </xf>
    <xf numFmtId="173" fontId="51" fillId="0" borderId="57" xfId="0" applyNumberFormat="1" applyFont="1" applyFill="1" applyBorder="1" applyAlignment="1">
      <alignment vertical="center" wrapText="1"/>
    </xf>
    <xf numFmtId="173" fontId="9" fillId="0" borderId="58" xfId="0" applyNumberFormat="1" applyFont="1" applyFill="1" applyBorder="1" applyAlignment="1">
      <alignment vertical="center" wrapText="1"/>
    </xf>
    <xf numFmtId="173" fontId="9" fillId="0" borderId="42" xfId="0" applyNumberFormat="1" applyFont="1" applyFill="1" applyBorder="1" applyAlignment="1">
      <alignment vertical="center"/>
    </xf>
    <xf numFmtId="173" fontId="9" fillId="0" borderId="42" xfId="0" applyNumberFormat="1" applyFont="1" applyFill="1" applyBorder="1" applyAlignment="1">
      <alignment horizontal="right" vertical="center"/>
    </xf>
    <xf numFmtId="180" fontId="9" fillId="0" borderId="42" xfId="0" applyNumberFormat="1" applyFont="1" applyBorder="1" applyAlignment="1">
      <alignment horizontal="right" vertical="center"/>
    </xf>
    <xf numFmtId="0" fontId="5" fillId="2" borderId="59" xfId="0" applyFont="1" applyFill="1" applyBorder="1" applyAlignment="1" applyProtection="1">
      <alignment vertical="center" wrapText="1"/>
      <protection/>
    </xf>
    <xf numFmtId="173" fontId="30" fillId="8" borderId="60" xfId="0" applyNumberFormat="1" applyFont="1" applyFill="1" applyBorder="1" applyAlignment="1" applyProtection="1">
      <alignment vertical="center" wrapText="1"/>
      <protection/>
    </xf>
    <xf numFmtId="0" fontId="23" fillId="0" borderId="61" xfId="0" applyNumberFormat="1" applyFont="1" applyFill="1" applyBorder="1" applyAlignment="1" applyProtection="1">
      <alignment vertical="center" wrapText="1"/>
      <protection/>
    </xf>
    <xf numFmtId="40" fontId="9" fillId="8" borderId="10" xfId="38" applyNumberFormat="1" applyFont="1" applyFill="1" applyBorder="1" applyAlignment="1">
      <alignment vertical="center"/>
    </xf>
    <xf numFmtId="1" fontId="5" fillId="0" borderId="10" xfId="0" applyNumberFormat="1" applyFont="1" applyFill="1" applyBorder="1" applyAlignment="1" applyProtection="1">
      <alignment vertical="center"/>
      <protection/>
    </xf>
    <xf numFmtId="40" fontId="5" fillId="0" borderId="10" xfId="0" applyNumberFormat="1" applyFont="1" applyFill="1" applyBorder="1" applyAlignment="1" applyProtection="1">
      <alignment vertical="center"/>
      <protection/>
    </xf>
    <xf numFmtId="4" fontId="5" fillId="0" borderId="10" xfId="0" applyNumberFormat="1" applyFont="1" applyFill="1" applyBorder="1" applyAlignment="1" applyProtection="1">
      <alignment vertical="center"/>
      <protection/>
    </xf>
    <xf numFmtId="49" fontId="23" fillId="0" borderId="24" xfId="0" applyNumberFormat="1" applyFont="1" applyFill="1" applyBorder="1" applyAlignment="1" applyProtection="1">
      <alignment vertical="center" wrapText="1"/>
      <protection/>
    </xf>
    <xf numFmtId="0" fontId="23" fillId="0" borderId="24" xfId="0" applyNumberFormat="1" applyFont="1" applyFill="1" applyBorder="1" applyAlignment="1" applyProtection="1">
      <alignment vertical="center" wrapText="1"/>
      <protection/>
    </xf>
    <xf numFmtId="0" fontId="23" fillId="2" borderId="39" xfId="0" applyFont="1" applyFill="1" applyBorder="1" applyAlignment="1" applyProtection="1">
      <alignment vertical="center" wrapText="1"/>
      <protection/>
    </xf>
    <xf numFmtId="0" fontId="23" fillId="0" borderId="52" xfId="0" applyNumberFormat="1" applyFont="1" applyFill="1" applyBorder="1" applyAlignment="1" applyProtection="1">
      <alignment vertical="center" wrapText="1"/>
      <protection/>
    </xf>
    <xf numFmtId="172" fontId="23" fillId="0" borderId="24" xfId="0" applyNumberFormat="1" applyFont="1" applyFill="1" applyBorder="1" applyAlignment="1" applyProtection="1">
      <alignment vertical="center"/>
      <protection/>
    </xf>
    <xf numFmtId="172" fontId="23" fillId="0" borderId="52" xfId="0" applyNumberFormat="1" applyFont="1" applyFill="1" applyBorder="1" applyAlignment="1" applyProtection="1">
      <alignment vertical="center" wrapText="1"/>
      <protection/>
    </xf>
    <xf numFmtId="0" fontId="14" fillId="0" borderId="62" xfId="0" applyFont="1" applyFill="1" applyBorder="1" applyAlignment="1" applyProtection="1">
      <alignment horizontal="left" vertical="center" wrapText="1"/>
      <protection/>
    </xf>
    <xf numFmtId="0" fontId="9" fillId="0" borderId="63" xfId="0" applyFont="1" applyFill="1" applyBorder="1" applyAlignment="1" applyProtection="1">
      <alignment horizontal="left" vertical="center" wrapText="1"/>
      <protection/>
    </xf>
    <xf numFmtId="0" fontId="24" fillId="0" borderId="64" xfId="0" applyNumberFormat="1" applyFont="1" applyFill="1" applyBorder="1" applyAlignment="1" applyProtection="1">
      <alignment horizontal="left" vertical="center" wrapText="1"/>
      <protection locked="0"/>
    </xf>
    <xf numFmtId="0" fontId="24" fillId="0" borderId="65" xfId="0" applyNumberFormat="1" applyFont="1" applyFill="1" applyBorder="1" applyAlignment="1" applyProtection="1">
      <alignment horizontal="left" vertical="center" wrapText="1"/>
      <protection locked="0"/>
    </xf>
    <xf numFmtId="0" fontId="23" fillId="0" borderId="36" xfId="0" applyFont="1" applyFill="1" applyBorder="1" applyAlignment="1" applyProtection="1">
      <alignment horizontal="left" vertical="center" wrapText="1"/>
      <protection/>
    </xf>
    <xf numFmtId="0" fontId="23" fillId="0" borderId="53" xfId="0" applyFont="1" applyFill="1" applyBorder="1" applyAlignment="1" applyProtection="1">
      <alignment horizontal="left" vertical="center" wrapText="1"/>
      <protection/>
    </xf>
    <xf numFmtId="173" fontId="9" fillId="0" borderId="66" xfId="0" applyNumberFormat="1" applyFont="1" applyFill="1" applyBorder="1" applyAlignment="1" applyProtection="1">
      <alignment horizontal="left" vertical="center" wrapText="1"/>
      <protection/>
    </xf>
    <xf numFmtId="173" fontId="9" fillId="0" borderId="67" xfId="0" applyNumberFormat="1" applyFont="1" applyFill="1" applyBorder="1" applyAlignment="1" applyProtection="1">
      <alignment horizontal="left" vertical="center" wrapText="1"/>
      <protection/>
    </xf>
    <xf numFmtId="0" fontId="9" fillId="0" borderId="68" xfId="0" applyFont="1" applyFill="1" applyBorder="1" applyAlignment="1" applyProtection="1">
      <alignment horizontal="left" vertical="center" wrapText="1"/>
      <protection/>
    </xf>
    <xf numFmtId="0" fontId="9" fillId="0" borderId="69" xfId="0" applyFont="1" applyFill="1" applyBorder="1" applyAlignment="1" applyProtection="1">
      <alignment horizontal="left" vertical="center" wrapText="1"/>
      <protection/>
    </xf>
    <xf numFmtId="0" fontId="22" fillId="2" borderId="70" xfId="0" applyFont="1" applyFill="1" applyBorder="1" applyAlignment="1">
      <alignment horizontal="center" vertical="center" wrapText="1"/>
    </xf>
    <xf numFmtId="0" fontId="23" fillId="11" borderId="71" xfId="0" applyFont="1" applyFill="1" applyBorder="1" applyAlignment="1">
      <alignment vertical="center" wrapText="1"/>
    </xf>
    <xf numFmtId="0" fontId="22" fillId="2" borderId="72" xfId="0" applyFont="1" applyFill="1" applyBorder="1" applyAlignment="1">
      <alignment horizontal="center" vertical="center" wrapText="1"/>
    </xf>
    <xf numFmtId="0" fontId="23" fillId="11" borderId="73" xfId="0" applyFont="1" applyFill="1" applyBorder="1" applyAlignment="1">
      <alignment vertical="center" wrapText="1"/>
    </xf>
    <xf numFmtId="0" fontId="22" fillId="2" borderId="74" xfId="0" applyFont="1" applyFill="1" applyBorder="1" applyAlignment="1">
      <alignment horizontal="center" vertical="center" wrapText="1"/>
    </xf>
    <xf numFmtId="0" fontId="23" fillId="11" borderId="75" xfId="0" applyFont="1" applyFill="1" applyBorder="1" applyAlignment="1">
      <alignment vertical="center" wrapText="1"/>
    </xf>
    <xf numFmtId="0" fontId="19" fillId="0" borderId="0" xfId="0" applyFont="1" applyAlignment="1">
      <alignment wrapText="1"/>
    </xf>
    <xf numFmtId="0" fontId="12" fillId="0" borderId="0" xfId="0" applyFont="1" applyAlignment="1">
      <alignment wrapText="1"/>
    </xf>
    <xf numFmtId="0" fontId="14" fillId="0" borderId="76" xfId="0" applyFont="1" applyFill="1" applyBorder="1" applyAlignment="1" applyProtection="1">
      <alignment horizontal="left" wrapText="1"/>
      <protection/>
    </xf>
    <xf numFmtId="0" fontId="14" fillId="0" borderId="77" xfId="0" applyFont="1" applyFill="1" applyBorder="1" applyAlignment="1" applyProtection="1">
      <alignment horizontal="left" wrapText="1"/>
      <protection/>
    </xf>
    <xf numFmtId="0" fontId="20" fillId="0" borderId="76" xfId="0" applyFont="1" applyFill="1" applyBorder="1" applyAlignment="1" applyProtection="1">
      <alignment horizontal="left" wrapText="1"/>
      <protection/>
    </xf>
    <xf numFmtId="0" fontId="20" fillId="0" borderId="77" xfId="0" applyFont="1" applyFill="1" applyBorder="1" applyAlignment="1" applyProtection="1">
      <alignment horizontal="left" wrapText="1"/>
      <protection/>
    </xf>
    <xf numFmtId="0" fontId="5" fillId="0" borderId="36" xfId="0" applyFont="1" applyFill="1" applyBorder="1" applyAlignment="1" applyProtection="1">
      <alignment horizontal="left" vertical="center" wrapText="1"/>
      <protection/>
    </xf>
    <xf numFmtId="0" fontId="5" fillId="0" borderId="61" xfId="0" applyFont="1" applyFill="1" applyBorder="1" applyAlignment="1" applyProtection="1">
      <alignment horizontal="left" vertical="center" wrapText="1"/>
      <protection/>
    </xf>
    <xf numFmtId="0" fontId="5" fillId="0" borderId="53" xfId="0" applyFont="1" applyFill="1" applyBorder="1" applyAlignment="1" applyProtection="1">
      <alignment horizontal="left" vertical="center" wrapText="1"/>
      <protection/>
    </xf>
    <xf numFmtId="0" fontId="33" fillId="8" borderId="78" xfId="0" applyFont="1" applyFill="1" applyBorder="1" applyAlignment="1" applyProtection="1">
      <alignment horizontal="center" vertical="center" wrapText="1"/>
      <protection/>
    </xf>
    <xf numFmtId="0" fontId="33" fillId="8" borderId="79" xfId="0" applyFont="1" applyFill="1" applyBorder="1" applyAlignment="1" applyProtection="1">
      <alignment horizontal="center" vertical="center" wrapText="1"/>
      <protection/>
    </xf>
    <xf numFmtId="0" fontId="46" fillId="0" borderId="18" xfId="0" applyFont="1" applyFill="1" applyBorder="1" applyAlignment="1">
      <alignment horizontal="left" vertical="center" wrapText="1"/>
    </xf>
    <xf numFmtId="173" fontId="5" fillId="0" borderId="80" xfId="0" applyNumberFormat="1" applyFont="1" applyFill="1" applyBorder="1" applyAlignment="1">
      <alignment horizontal="left" vertical="center" wrapText="1"/>
    </xf>
    <xf numFmtId="173" fontId="5" fillId="0" borderId="81" xfId="0" applyNumberFormat="1" applyFont="1" applyFill="1" applyBorder="1" applyAlignment="1">
      <alignment horizontal="left" vertical="center" wrapText="1"/>
    </xf>
    <xf numFmtId="0" fontId="23" fillId="0" borderId="18" xfId="0" applyFont="1" applyFill="1" applyBorder="1" applyAlignment="1">
      <alignment horizontal="left" vertical="center" wrapText="1"/>
    </xf>
    <xf numFmtId="0" fontId="5" fillId="0" borderId="18" xfId="0" applyFont="1" applyFill="1" applyBorder="1" applyAlignment="1">
      <alignment horizontal="left" vertical="center" wrapText="1"/>
    </xf>
    <xf numFmtId="173" fontId="9" fillId="0" borderId="82" xfId="0" applyNumberFormat="1" applyFont="1" applyFill="1" applyBorder="1" applyAlignment="1">
      <alignment horizontal="left" vertical="center" wrapText="1"/>
    </xf>
    <xf numFmtId="173" fontId="9" fillId="0" borderId="18" xfId="0" applyNumberFormat="1" applyFont="1" applyFill="1" applyBorder="1" applyAlignment="1">
      <alignment horizontal="left" vertical="center" wrapText="1"/>
    </xf>
    <xf numFmtId="173" fontId="9" fillId="0" borderId="83"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8" borderId="10"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23" fillId="16" borderId="19" xfId="0" applyFont="1" applyFill="1" applyBorder="1" applyAlignment="1">
      <alignment horizontal="center" vertical="center" wrapText="1"/>
    </xf>
    <xf numFmtId="0" fontId="23" fillId="16" borderId="51" xfId="0" applyFont="1" applyFill="1" applyBorder="1" applyAlignment="1">
      <alignment horizontal="center" vertical="center" wrapText="1"/>
    </xf>
    <xf numFmtId="0" fontId="5" fillId="8" borderId="19"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51" xfId="0" applyFont="1" applyFill="1" applyBorder="1" applyAlignment="1">
      <alignment horizontal="center" vertical="center"/>
    </xf>
    <xf numFmtId="0" fontId="11" fillId="8" borderId="10" xfId="0" applyFont="1" applyFill="1" applyBorder="1" applyAlignment="1">
      <alignment horizontal="center" vertical="center"/>
    </xf>
    <xf numFmtId="0" fontId="12" fillId="8" borderId="10" xfId="0" applyFont="1" applyFill="1" applyBorder="1" applyAlignment="1">
      <alignment horizontal="center" vertical="center"/>
    </xf>
    <xf numFmtId="0" fontId="5" fillId="8" borderId="10" xfId="0" applyFont="1" applyFill="1" applyBorder="1" applyAlignment="1">
      <alignment horizontal="center" vertical="center"/>
    </xf>
    <xf numFmtId="0" fontId="5" fillId="0" borderId="10" xfId="0" applyFont="1" applyBorder="1" applyAlignment="1">
      <alignment vertical="center" wrapText="1"/>
    </xf>
    <xf numFmtId="0" fontId="5" fillId="8" borderId="11" xfId="0" applyFont="1" applyFill="1" applyBorder="1" applyAlignment="1">
      <alignment horizontal="center" vertical="center" wrapText="1"/>
    </xf>
    <xf numFmtId="0" fontId="5" fillId="8" borderId="55"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55" xfId="0" applyFont="1" applyFill="1" applyBorder="1" applyAlignment="1">
      <alignment horizontal="center" vertical="center" wrapText="1"/>
    </xf>
    <xf numFmtId="0" fontId="5" fillId="16" borderId="22" xfId="0" applyFont="1" applyFill="1" applyBorder="1" applyAlignment="1">
      <alignment horizontal="center" vertical="center" wrapText="1"/>
    </xf>
    <xf numFmtId="0" fontId="5" fillId="10" borderId="11" xfId="0" applyFont="1" applyFill="1" applyBorder="1" applyAlignment="1">
      <alignment horizontal="center" vertical="center"/>
    </xf>
    <xf numFmtId="0" fontId="5" fillId="10" borderId="55" xfId="0" applyFont="1" applyFill="1" applyBorder="1" applyAlignment="1">
      <alignment horizontal="center" vertical="center"/>
    </xf>
    <xf numFmtId="0" fontId="5" fillId="10" borderId="22"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9" xfId="0" applyFont="1" applyBorder="1" applyAlignment="1">
      <alignment vertical="center" wrapText="1"/>
    </xf>
    <xf numFmtId="0" fontId="5" fillId="0" borderId="51" xfId="0" applyFont="1" applyBorder="1" applyAlignment="1">
      <alignment vertical="center" wrapText="1"/>
    </xf>
    <xf numFmtId="0" fontId="9" fillId="8" borderId="19" xfId="0" applyFont="1" applyFill="1" applyBorder="1" applyAlignment="1">
      <alignment horizontal="center" vertical="center" wrapText="1"/>
    </xf>
    <xf numFmtId="0" fontId="9" fillId="8" borderId="51"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51"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center" vertical="center"/>
    </xf>
    <xf numFmtId="4" fontId="5" fillId="0" borderId="11" xfId="0" applyNumberFormat="1" applyFont="1" applyBorder="1" applyAlignment="1">
      <alignment horizontal="center" vertical="center" wrapText="1"/>
    </xf>
    <xf numFmtId="4" fontId="5" fillId="0" borderId="55" xfId="0" applyNumberFormat="1" applyFont="1" applyBorder="1" applyAlignment="1">
      <alignment horizontal="center" vertical="center" wrapText="1"/>
    </xf>
    <xf numFmtId="4" fontId="5" fillId="0" borderId="22" xfId="0" applyNumberFormat="1" applyFont="1" applyBorder="1" applyAlignment="1">
      <alignment horizontal="center" vertical="center" wrapText="1"/>
    </xf>
    <xf numFmtId="4" fontId="5" fillId="0" borderId="11" xfId="0" applyNumberFormat="1" applyFont="1" applyBorder="1" applyAlignment="1">
      <alignment horizontal="center" vertical="center"/>
    </xf>
    <xf numFmtId="4" fontId="5" fillId="0" borderId="55" xfId="0" applyNumberFormat="1" applyFont="1" applyBorder="1" applyAlignment="1">
      <alignment horizontal="center" vertical="center"/>
    </xf>
    <xf numFmtId="4" fontId="5" fillId="0" borderId="22" xfId="0" applyNumberFormat="1" applyFont="1" applyBorder="1" applyAlignment="1">
      <alignment horizontal="center" vertical="center"/>
    </xf>
    <xf numFmtId="4" fontId="5" fillId="0" borderId="18" xfId="0" applyNumberFormat="1" applyFont="1" applyFill="1" applyBorder="1" applyAlignment="1">
      <alignment horizontal="left" vertical="center" wrapText="1"/>
    </xf>
    <xf numFmtId="4" fontId="11" fillId="8" borderId="10" xfId="0" applyNumberFormat="1" applyFont="1" applyFill="1" applyBorder="1" applyAlignment="1">
      <alignment horizontal="center" vertical="center" wrapText="1"/>
    </xf>
    <xf numFmtId="4" fontId="5" fillId="8" borderId="10" xfId="0" applyNumberFormat="1" applyFont="1" applyFill="1" applyBorder="1" applyAlignment="1">
      <alignment horizontal="center" vertical="center"/>
    </xf>
    <xf numFmtId="4" fontId="5" fillId="16" borderId="11" xfId="0" applyNumberFormat="1" applyFont="1" applyFill="1" applyBorder="1" applyAlignment="1">
      <alignment horizontal="center" vertical="center"/>
    </xf>
    <xf numFmtId="4" fontId="5" fillId="16" borderId="22" xfId="0" applyNumberFormat="1" applyFont="1" applyFill="1" applyBorder="1" applyAlignment="1">
      <alignment horizontal="center" vertical="center"/>
    </xf>
    <xf numFmtId="0" fontId="36" fillId="25" borderId="84" xfId="0" applyFont="1" applyFill="1" applyBorder="1" applyAlignment="1">
      <alignment horizontal="left" vertical="center" wrapText="1"/>
    </xf>
    <xf numFmtId="0" fontId="36" fillId="25" borderId="85"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Comma [0]" xfId="38"/>
    <cellStyle name="Currency" xfId="39"/>
    <cellStyle name="Currency [0]" xfId="40"/>
    <cellStyle name="Encabezado 4" xfId="41"/>
    <cellStyle name="Énfasis1" xfId="42"/>
    <cellStyle name="Énfasis2" xfId="43"/>
    <cellStyle name="Énfasis3" xfId="44"/>
    <cellStyle name="Énfasis4" xfId="45"/>
    <cellStyle name="Énfasis5" xfId="46"/>
    <cellStyle name="Énfasis6" xfId="47"/>
    <cellStyle name="Entrada" xfId="48"/>
    <cellStyle name="Incorrecto"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AF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EF5FE"/>
      <rgbColor rgb="00CCFFCC"/>
      <rgbColor rgb="00FBC93B"/>
      <rgbColor rgb="0099CCFF"/>
      <rgbColor rgb="00EEC8D9"/>
      <rgbColor rgb="00CC99FF"/>
      <rgbColor rgb="00FFCC99"/>
      <rgbColor rgb="003366FF"/>
      <rgbColor rgb="0033CCCC"/>
      <rgbColor rgb="0099CC00"/>
      <rgbColor rgb="00FFCC00"/>
      <rgbColor rgb="00FF9900"/>
      <rgbColor rgb="00FF6600"/>
      <rgbColor rgb="009999FF"/>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Costo de PTMI y tratamiento pediátrico  (en USD)</a:t>
            </a:r>
          </a:p>
        </c:rich>
      </c:tx>
      <c:layout>
        <c:manualLayout>
          <c:xMode val="factor"/>
          <c:yMode val="factor"/>
          <c:x val="-0.0025"/>
          <c:y val="-0.0095"/>
        </c:manualLayout>
      </c:layout>
      <c:spPr>
        <a:noFill/>
        <a:ln>
          <a:noFill/>
        </a:ln>
      </c:spPr>
    </c:title>
    <c:view3D>
      <c:rotX val="15"/>
      <c:hPercent val="105"/>
      <c:rotY val="20"/>
      <c:depthPercent val="100"/>
      <c:rAngAx val="1"/>
    </c:view3D>
    <c:plotArea>
      <c:layout>
        <c:manualLayout>
          <c:xMode val="edge"/>
          <c:yMode val="edge"/>
          <c:x val="0.16325"/>
          <c:y val="0.163"/>
          <c:w val="0.49075"/>
          <c:h val="0.81425"/>
        </c:manualLayout>
      </c:layout>
      <c:bar3DChart>
        <c:barDir val="col"/>
        <c:grouping val="stacked"/>
        <c:varyColors val="0"/>
        <c:ser>
          <c:idx val="0"/>
          <c:order val="0"/>
          <c:tx>
            <c:strRef>
              <c:f>'5. Gráficos resumen'!$B$6</c:f>
              <c:strCache>
                <c:ptCount val="1"/>
                <c:pt idx="0">
                  <c:v>Costo total de PTMI</c:v>
                </c:pt>
              </c:strCache>
            </c:strRef>
          </c:tx>
          <c:spPr>
            <a:solidFill>
              <a:srgbClr val="0078D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resumen'!$C$5:$G$5</c:f>
              <c:strCache/>
            </c:strRef>
          </c:cat>
          <c:val>
            <c:numRef>
              <c:f>'5. Gráficos resumen'!$C$6:$G$6</c:f>
              <c:numCache>
                <c:ptCount val="5"/>
                <c:pt idx="0">
                  <c:v>0</c:v>
                </c:pt>
                <c:pt idx="1">
                  <c:v>0</c:v>
                </c:pt>
                <c:pt idx="2">
                  <c:v>0</c:v>
                </c:pt>
                <c:pt idx="3">
                  <c:v>0</c:v>
                </c:pt>
                <c:pt idx="4">
                  <c:v>0</c:v>
                </c:pt>
              </c:numCache>
            </c:numRef>
          </c:val>
          <c:shape val="cylinder"/>
        </c:ser>
        <c:ser>
          <c:idx val="1"/>
          <c:order val="1"/>
          <c:tx>
            <c:strRef>
              <c:f>'5. Gráficos resumen'!$B$7</c:f>
              <c:strCache>
                <c:ptCount val="1"/>
                <c:pt idx="0">
                  <c:v>Costos totales de tratamiento de VIH pediátrico</c:v>
                </c:pt>
              </c:strCache>
            </c:strRef>
          </c:tx>
          <c:spPr>
            <a:solidFill>
              <a:srgbClr val="DE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resumen'!$C$5:$G$5</c:f>
              <c:strCache/>
            </c:strRef>
          </c:cat>
          <c:val>
            <c:numRef>
              <c:f>'5. Gráficos resumen'!$C$7:$G$7</c:f>
              <c:numCache>
                <c:ptCount val="5"/>
                <c:pt idx="0">
                  <c:v>0</c:v>
                </c:pt>
                <c:pt idx="1">
                  <c:v>0</c:v>
                </c:pt>
                <c:pt idx="2">
                  <c:v>0</c:v>
                </c:pt>
                <c:pt idx="3">
                  <c:v>0</c:v>
                </c:pt>
                <c:pt idx="4">
                  <c:v>0</c:v>
                </c:pt>
              </c:numCache>
            </c:numRef>
          </c:val>
          <c:shape val="cylinder"/>
        </c:ser>
        <c:overlap val="100"/>
        <c:shape val="cylinder"/>
        <c:axId val="48161643"/>
        <c:axId val="30801604"/>
      </c:bar3DChart>
      <c:catAx>
        <c:axId val="481616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801604"/>
        <c:crosses val="autoZero"/>
        <c:auto val="1"/>
        <c:lblOffset val="100"/>
        <c:tickLblSkip val="1"/>
        <c:noMultiLvlLbl val="0"/>
      </c:catAx>
      <c:valAx>
        <c:axId val="308016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161643"/>
        <c:crossesAt val="1"/>
        <c:crossBetween val="between"/>
        <c:dispUnits/>
      </c:valAx>
      <c:spPr>
        <a:noFill/>
        <a:ln>
          <a:noFill/>
        </a:ln>
      </c:spPr>
    </c:plotArea>
    <c:legend>
      <c:legendPos val="r"/>
      <c:layout>
        <c:manualLayout>
          <c:xMode val="edge"/>
          <c:yMode val="edge"/>
          <c:x val="0.6715"/>
          <c:y val="0.40875"/>
          <c:w val="0.31625"/>
          <c:h val="0.349"/>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Costo por infección de VIH evitada 
(en USD)</a:t>
            </a:r>
          </a:p>
        </c:rich>
      </c:tx>
      <c:layout>
        <c:manualLayout>
          <c:xMode val="factor"/>
          <c:yMode val="factor"/>
          <c:x val="-0.005"/>
          <c:y val="-0.0095"/>
        </c:manualLayout>
      </c:layout>
      <c:spPr>
        <a:noFill/>
        <a:ln>
          <a:noFill/>
        </a:ln>
      </c:spPr>
    </c:title>
    <c:view3D>
      <c:rotX val="15"/>
      <c:hPercent val="113"/>
      <c:rotY val="20"/>
      <c:depthPercent val="100"/>
      <c:rAngAx val="1"/>
    </c:view3D>
    <c:plotArea>
      <c:layout>
        <c:manualLayout>
          <c:xMode val="edge"/>
          <c:yMode val="edge"/>
          <c:x val="0.1235"/>
          <c:y val="0.18225"/>
          <c:w val="0.48975"/>
          <c:h val="0.766"/>
        </c:manualLayout>
      </c:layout>
      <c:bar3DChart>
        <c:barDir val="col"/>
        <c:grouping val="clustered"/>
        <c:varyColors val="0"/>
        <c:ser>
          <c:idx val="0"/>
          <c:order val="0"/>
          <c:tx>
            <c:strRef>
              <c:f>'5. Gráficos resumen'!$B$18</c:f>
              <c:strCache>
                <c:ptCount val="1"/>
                <c:pt idx="0">
                  <c:v>Costo por infección de VIH evitada</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resumen'!$C$17:$G$17</c:f>
              <c:strCache/>
            </c:strRef>
          </c:cat>
          <c:val>
            <c:numRef>
              <c:f>'5. Gráficos resumen'!$C$18:$G$18</c:f>
              <c:numCache>
                <c:ptCount val="5"/>
                <c:pt idx="0">
                  <c:v>0</c:v>
                </c:pt>
                <c:pt idx="1">
                  <c:v>0</c:v>
                </c:pt>
                <c:pt idx="2">
                  <c:v>0</c:v>
                </c:pt>
                <c:pt idx="3">
                  <c:v>0</c:v>
                </c:pt>
                <c:pt idx="4">
                  <c:v>0</c:v>
                </c:pt>
              </c:numCache>
            </c:numRef>
          </c:val>
          <c:shape val="cylinder"/>
        </c:ser>
        <c:shape val="cylinder"/>
        <c:axId val="8778981"/>
        <c:axId val="11901966"/>
      </c:bar3DChart>
      <c:catAx>
        <c:axId val="87789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1901966"/>
        <c:crosses val="autoZero"/>
        <c:auto val="1"/>
        <c:lblOffset val="100"/>
        <c:tickLblSkip val="1"/>
        <c:noMultiLvlLbl val="0"/>
      </c:catAx>
      <c:valAx>
        <c:axId val="119019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78981"/>
        <c:crossesAt val="1"/>
        <c:crossBetween val="between"/>
        <c:dispUnits/>
      </c:valAx>
      <c:spPr>
        <a:noFill/>
        <a:ln>
          <a:noFill/>
        </a:ln>
      </c:spPr>
    </c:plotArea>
    <c:legend>
      <c:legendPos val="r"/>
      <c:layout>
        <c:manualLayout>
          <c:xMode val="edge"/>
          <c:yMode val="edge"/>
          <c:x val="0.6445"/>
          <c:y val="0.484"/>
          <c:w val="0.34325"/>
          <c:h val="0.1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Ahorro total en PTMI (en USD)</a:t>
            </a:r>
          </a:p>
        </c:rich>
      </c:tx>
      <c:layout>
        <c:manualLayout>
          <c:xMode val="factor"/>
          <c:yMode val="factor"/>
          <c:x val="-0.005"/>
          <c:y val="-0.00975"/>
        </c:manualLayout>
      </c:layout>
      <c:spPr>
        <a:noFill/>
        <a:ln>
          <a:noFill/>
        </a:ln>
      </c:spPr>
    </c:title>
    <c:view3D>
      <c:rotX val="15"/>
      <c:hPercent val="124"/>
      <c:rotY val="20"/>
      <c:depthPercent val="100"/>
      <c:rAngAx val="1"/>
    </c:view3D>
    <c:plotArea>
      <c:layout>
        <c:manualLayout>
          <c:xMode val="edge"/>
          <c:yMode val="edge"/>
          <c:x val="0.207"/>
          <c:y val="0.07825"/>
          <c:w val="0.489"/>
          <c:h val="0.8085"/>
        </c:manualLayout>
      </c:layout>
      <c:bar3DChart>
        <c:barDir val="col"/>
        <c:grouping val="clustered"/>
        <c:varyColors val="0"/>
        <c:ser>
          <c:idx val="0"/>
          <c:order val="0"/>
          <c:tx>
            <c:strRef>
              <c:f>'5. Gráficos resumen'!$B$32</c:f>
              <c:strCache>
                <c:ptCount val="1"/>
                <c:pt idx="0">
                  <c:v>Ahorro total en PTMI</c:v>
                </c:pt>
              </c:strCache>
            </c:strRef>
          </c:tx>
          <c:spPr>
            <a:solidFill>
              <a:srgbClr val="DAA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resumen'!$C$31:$G$31</c:f>
              <c:strCache/>
            </c:strRef>
          </c:cat>
          <c:val>
            <c:numRef>
              <c:f>'5. Gráficos resumen'!$C$32:$G$32</c:f>
              <c:numCache/>
            </c:numRef>
          </c:val>
          <c:shape val="cylinder"/>
        </c:ser>
        <c:shape val="cylinder"/>
        <c:axId val="40008831"/>
        <c:axId val="24535160"/>
      </c:bar3DChart>
      <c:catAx>
        <c:axId val="4000883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535160"/>
        <c:crosses val="autoZero"/>
        <c:auto val="1"/>
        <c:lblOffset val="100"/>
        <c:tickLblSkip val="1"/>
        <c:noMultiLvlLbl val="0"/>
      </c:catAx>
      <c:valAx>
        <c:axId val="245351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008831"/>
        <c:crossesAt val="1"/>
        <c:crossBetween val="between"/>
        <c:dispUnits/>
      </c:valAx>
      <c:spPr>
        <a:noFill/>
        <a:ln>
          <a:noFill/>
        </a:ln>
      </c:spPr>
    </c:plotArea>
    <c:legend>
      <c:legendPos val="r"/>
      <c:layout>
        <c:manualLayout>
          <c:xMode val="edge"/>
          <c:yMode val="edge"/>
          <c:x val="0.7205"/>
          <c:y val="0.48675"/>
          <c:w val="0.26725"/>
          <c:h val="0.12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Costo por caso de sífilis congénita evitado (en USD)</a:t>
            </a:r>
          </a:p>
        </c:rich>
      </c:tx>
      <c:layout>
        <c:manualLayout>
          <c:xMode val="factor"/>
          <c:yMode val="factor"/>
          <c:x val="-0.0025"/>
          <c:y val="-0.0115"/>
        </c:manualLayout>
      </c:layout>
      <c:spPr>
        <a:noFill/>
        <a:ln>
          <a:noFill/>
        </a:ln>
      </c:spPr>
    </c:title>
    <c:view3D>
      <c:rotX val="15"/>
      <c:hPercent val="151"/>
      <c:rotY val="20"/>
      <c:depthPercent val="100"/>
      <c:rAngAx val="1"/>
    </c:view3D>
    <c:plotArea>
      <c:layout>
        <c:manualLayout>
          <c:xMode val="edge"/>
          <c:yMode val="edge"/>
          <c:x val="0.25075"/>
          <c:y val="0.16375"/>
          <c:w val="0.45275"/>
          <c:h val="0.827"/>
        </c:manualLayout>
      </c:layout>
      <c:bar3DChart>
        <c:barDir val="col"/>
        <c:grouping val="clustered"/>
        <c:varyColors val="0"/>
        <c:ser>
          <c:idx val="0"/>
          <c:order val="0"/>
          <c:tx>
            <c:strRef>
              <c:f>'5. Gráficos resumen'!$B$48</c:f>
              <c:strCache>
                <c:ptCount val="1"/>
                <c:pt idx="0">
                  <c:v>Costo por caso de sífilis congénita evitado</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resumen'!$C$47:$G$47</c:f>
              <c:strCache/>
            </c:strRef>
          </c:cat>
          <c:val>
            <c:numRef>
              <c:f>'5. Gráficos resumen'!$C$48:$G$48</c:f>
              <c:numCache/>
            </c:numRef>
          </c:val>
          <c:shape val="cylinder"/>
        </c:ser>
        <c:shape val="cylinder"/>
        <c:axId val="19489849"/>
        <c:axId val="41190914"/>
      </c:bar3DChart>
      <c:catAx>
        <c:axId val="1948984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1190914"/>
        <c:crosses val="autoZero"/>
        <c:auto val="1"/>
        <c:lblOffset val="100"/>
        <c:tickLblSkip val="1"/>
        <c:noMultiLvlLbl val="0"/>
      </c:catAx>
      <c:valAx>
        <c:axId val="411909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489849"/>
        <c:crossesAt val="1"/>
        <c:crossBetween val="between"/>
        <c:dispUnits/>
      </c:valAx>
      <c:spPr>
        <a:noFill/>
        <a:ln>
          <a:noFill/>
        </a:ln>
      </c:spPr>
    </c:plotArea>
    <c:legend>
      <c:legendPos val="r"/>
      <c:layout>
        <c:manualLayout>
          <c:xMode val="edge"/>
          <c:yMode val="edge"/>
          <c:x val="0.696"/>
          <c:y val="0.4985"/>
          <c:w val="0.29175"/>
          <c:h val="0.158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1266825</xdr:colOff>
      <xdr:row>1</xdr:row>
      <xdr:rowOff>1123950</xdr:rowOff>
    </xdr:from>
    <xdr:to>
      <xdr:col>0</xdr:col>
      <xdr:colOff>1790700</xdr:colOff>
      <xdr:row>3</xdr:row>
      <xdr:rowOff>85725</xdr:rowOff>
    </xdr:to>
    <xdr:pic>
      <xdr:nvPicPr>
        <xdr:cNvPr id="1" name="Picture 2" descr="F:\n-ishikawa\Office\logo\ncgm ロゴマーク\ロゴマーク\jpg\ロゴ縦.jpg"/>
        <xdr:cNvPicPr preferRelativeResize="1">
          <a:picLocks noChangeAspect="1"/>
        </xdr:cNvPicPr>
      </xdr:nvPicPr>
      <xdr:blipFill>
        <a:blip r:embed="rId1"/>
        <a:stretch>
          <a:fillRect/>
        </a:stretch>
      </xdr:blipFill>
      <xdr:spPr>
        <a:xfrm>
          <a:off x="1266825" y="1352550"/>
          <a:ext cx="523875" cy="571500"/>
        </a:xfrm>
        <a:prstGeom prst="rect">
          <a:avLst/>
        </a:prstGeom>
        <a:noFill/>
        <a:ln w="9525" cmpd="sng">
          <a:noFill/>
        </a:ln>
      </xdr:spPr>
    </xdr:pic>
    <xdr:clientData/>
  </xdr:twoCellAnchor>
  <xdr:twoCellAnchor>
    <xdr:from>
      <xdr:col>0</xdr:col>
      <xdr:colOff>8334375</xdr:colOff>
      <xdr:row>1</xdr:row>
      <xdr:rowOff>1104900</xdr:rowOff>
    </xdr:from>
    <xdr:to>
      <xdr:col>0</xdr:col>
      <xdr:colOff>9315450</xdr:colOff>
      <xdr:row>3</xdr:row>
      <xdr:rowOff>466725</xdr:rowOff>
    </xdr:to>
    <xdr:pic>
      <xdr:nvPicPr>
        <xdr:cNvPr id="2" name="Picture 3"/>
        <xdr:cNvPicPr preferRelativeResize="1">
          <a:picLocks noChangeAspect="1"/>
        </xdr:cNvPicPr>
      </xdr:nvPicPr>
      <xdr:blipFill>
        <a:blip r:embed="rId2"/>
        <a:stretch>
          <a:fillRect/>
        </a:stretch>
      </xdr:blipFill>
      <xdr:spPr>
        <a:xfrm>
          <a:off x="8334375" y="1333500"/>
          <a:ext cx="981075" cy="971550"/>
        </a:xfrm>
        <a:prstGeom prst="rect">
          <a:avLst/>
        </a:prstGeom>
        <a:noFill/>
        <a:ln w="9525" cmpd="sng">
          <a:noFill/>
        </a:ln>
      </xdr:spPr>
    </xdr:pic>
    <xdr:clientData/>
  </xdr:twoCellAnchor>
  <xdr:twoCellAnchor editAs="oneCell">
    <xdr:from>
      <xdr:col>0</xdr:col>
      <xdr:colOff>1581150</xdr:colOff>
      <xdr:row>3</xdr:row>
      <xdr:rowOff>276225</xdr:rowOff>
    </xdr:from>
    <xdr:to>
      <xdr:col>0</xdr:col>
      <xdr:colOff>2790825</xdr:colOff>
      <xdr:row>3</xdr:row>
      <xdr:rowOff>647700</xdr:rowOff>
    </xdr:to>
    <xdr:pic>
      <xdr:nvPicPr>
        <xdr:cNvPr id="3" name="Picture 6"/>
        <xdr:cNvPicPr preferRelativeResize="1">
          <a:picLocks noChangeAspect="1"/>
        </xdr:cNvPicPr>
      </xdr:nvPicPr>
      <xdr:blipFill>
        <a:blip r:embed="rId3"/>
        <a:srcRect l="63412" t="41246" r="26220" b="54681"/>
        <a:stretch>
          <a:fillRect/>
        </a:stretch>
      </xdr:blipFill>
      <xdr:spPr>
        <a:xfrm>
          <a:off x="1581150" y="2114550"/>
          <a:ext cx="1209675" cy="371475"/>
        </a:xfrm>
        <a:prstGeom prst="rect">
          <a:avLst/>
        </a:prstGeom>
        <a:noFill/>
        <a:ln w="9525" cmpd="sng">
          <a:noFill/>
        </a:ln>
      </xdr:spPr>
    </xdr:pic>
    <xdr:clientData/>
  </xdr:twoCellAnchor>
  <xdr:twoCellAnchor>
    <xdr:from>
      <xdr:col>0</xdr:col>
      <xdr:colOff>28575</xdr:colOff>
      <xdr:row>3</xdr:row>
      <xdr:rowOff>123825</xdr:rowOff>
    </xdr:from>
    <xdr:to>
      <xdr:col>0</xdr:col>
      <xdr:colOff>1400175</xdr:colOff>
      <xdr:row>3</xdr:row>
      <xdr:rowOff>676275</xdr:rowOff>
    </xdr:to>
    <xdr:pic>
      <xdr:nvPicPr>
        <xdr:cNvPr id="4" name="Picture 7" descr="standard ESP GRANDE"/>
        <xdr:cNvPicPr preferRelativeResize="1">
          <a:picLocks noChangeAspect="1"/>
        </xdr:cNvPicPr>
      </xdr:nvPicPr>
      <xdr:blipFill>
        <a:blip r:embed="rId4"/>
        <a:stretch>
          <a:fillRect/>
        </a:stretch>
      </xdr:blipFill>
      <xdr:spPr>
        <a:xfrm>
          <a:off x="28575" y="1962150"/>
          <a:ext cx="13716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3352800</xdr:colOff>
      <xdr:row>0</xdr:row>
      <xdr:rowOff>57150</xdr:rowOff>
    </xdr:from>
    <xdr:to>
      <xdr:col>2</xdr:col>
      <xdr:colOff>3352800</xdr:colOff>
      <xdr:row>0</xdr:row>
      <xdr:rowOff>171450</xdr:rowOff>
    </xdr:to>
    <xdr:pic>
      <xdr:nvPicPr>
        <xdr:cNvPr id="1" name="Picture 2" descr="F:\n-ishikawa\Office\logo\ncgm ロゴマーク\ロゴマーク\jpg\ロゴ縦.jpg"/>
        <xdr:cNvPicPr preferRelativeResize="1">
          <a:picLocks noChangeAspect="1"/>
        </xdr:cNvPicPr>
      </xdr:nvPicPr>
      <xdr:blipFill>
        <a:blip r:embed="rId1"/>
        <a:stretch>
          <a:fillRect/>
        </a:stretch>
      </xdr:blipFill>
      <xdr:spPr>
        <a:xfrm>
          <a:off x="8382000" y="57150"/>
          <a:ext cx="0" cy="114300"/>
        </a:xfrm>
        <a:prstGeom prst="rect">
          <a:avLst/>
        </a:prstGeom>
        <a:noFill/>
        <a:ln w="9525" cmpd="sng">
          <a:noFill/>
        </a:ln>
      </xdr:spPr>
    </xdr:pic>
    <xdr:clientData/>
  </xdr:twoCellAnchor>
  <xdr:twoCellAnchor editAs="oneCell">
    <xdr:from>
      <xdr:col>2</xdr:col>
      <xdr:colOff>4086225</xdr:colOff>
      <xdr:row>1</xdr:row>
      <xdr:rowOff>1057275</xdr:rowOff>
    </xdr:from>
    <xdr:to>
      <xdr:col>2</xdr:col>
      <xdr:colOff>4086225</xdr:colOff>
      <xdr:row>1</xdr:row>
      <xdr:rowOff>1057275</xdr:rowOff>
    </xdr:to>
    <xdr:pic>
      <xdr:nvPicPr>
        <xdr:cNvPr id="2" name="Picture 2" descr="F:\n-ishikawa\Office\logo\ncgm ロゴマーク\ロゴマーク\jpg\ロゴ縦.jpg"/>
        <xdr:cNvPicPr preferRelativeResize="1">
          <a:picLocks noChangeAspect="1"/>
        </xdr:cNvPicPr>
      </xdr:nvPicPr>
      <xdr:blipFill>
        <a:blip r:embed="rId1"/>
        <a:stretch>
          <a:fillRect/>
        </a:stretch>
      </xdr:blipFill>
      <xdr:spPr>
        <a:xfrm>
          <a:off x="9115425" y="146685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2</xdr:row>
      <xdr:rowOff>123825</xdr:rowOff>
    </xdr:from>
    <xdr:to>
      <xdr:col>14</xdr:col>
      <xdr:colOff>209550</xdr:colOff>
      <xdr:row>14</xdr:row>
      <xdr:rowOff>161925</xdr:rowOff>
    </xdr:to>
    <xdr:graphicFrame>
      <xdr:nvGraphicFramePr>
        <xdr:cNvPr id="1" name="グラフ 3"/>
        <xdr:cNvGraphicFramePr/>
      </xdr:nvGraphicFramePr>
      <xdr:xfrm>
        <a:off x="6305550" y="590550"/>
        <a:ext cx="3971925" cy="318135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15</xdr:row>
      <xdr:rowOff>161925</xdr:rowOff>
    </xdr:from>
    <xdr:to>
      <xdr:col>14</xdr:col>
      <xdr:colOff>228600</xdr:colOff>
      <xdr:row>28</xdr:row>
      <xdr:rowOff>152400</xdr:rowOff>
    </xdr:to>
    <xdr:graphicFrame>
      <xdr:nvGraphicFramePr>
        <xdr:cNvPr id="2" name="グラフ 5"/>
        <xdr:cNvGraphicFramePr/>
      </xdr:nvGraphicFramePr>
      <xdr:xfrm>
        <a:off x="6324600" y="3962400"/>
        <a:ext cx="3971925" cy="3152775"/>
      </xdr:xfrm>
      <a:graphic>
        <a:graphicData uri="http://schemas.openxmlformats.org/drawingml/2006/chart">
          <c:chart xmlns:c="http://schemas.openxmlformats.org/drawingml/2006/chart" r:id="rId2"/>
        </a:graphicData>
      </a:graphic>
    </xdr:graphicFrame>
    <xdr:clientData/>
  </xdr:twoCellAnchor>
  <xdr:twoCellAnchor>
    <xdr:from>
      <xdr:col>7</xdr:col>
      <xdr:colOff>485775</xdr:colOff>
      <xdr:row>29</xdr:row>
      <xdr:rowOff>171450</xdr:rowOff>
    </xdr:from>
    <xdr:to>
      <xdr:col>14</xdr:col>
      <xdr:colOff>257175</xdr:colOff>
      <xdr:row>43</xdr:row>
      <xdr:rowOff>76200</xdr:rowOff>
    </xdr:to>
    <xdr:graphicFrame>
      <xdr:nvGraphicFramePr>
        <xdr:cNvPr id="3" name="グラフ 7"/>
        <xdr:cNvGraphicFramePr/>
      </xdr:nvGraphicFramePr>
      <xdr:xfrm>
        <a:off x="6353175" y="7324725"/>
        <a:ext cx="3971925" cy="3076575"/>
      </xdr:xfrm>
      <a:graphic>
        <a:graphicData uri="http://schemas.openxmlformats.org/drawingml/2006/chart">
          <c:chart xmlns:c="http://schemas.openxmlformats.org/drawingml/2006/chart" r:id="rId3"/>
        </a:graphicData>
      </a:graphic>
    </xdr:graphicFrame>
    <xdr:clientData/>
  </xdr:twoCellAnchor>
  <xdr:twoCellAnchor>
    <xdr:from>
      <xdr:col>7</xdr:col>
      <xdr:colOff>514350</xdr:colOff>
      <xdr:row>44</xdr:row>
      <xdr:rowOff>133350</xdr:rowOff>
    </xdr:from>
    <xdr:to>
      <xdr:col>14</xdr:col>
      <xdr:colOff>285750</xdr:colOff>
      <xdr:row>58</xdr:row>
      <xdr:rowOff>76200</xdr:rowOff>
    </xdr:to>
    <xdr:graphicFrame>
      <xdr:nvGraphicFramePr>
        <xdr:cNvPr id="4" name="グラフ 8"/>
        <xdr:cNvGraphicFramePr/>
      </xdr:nvGraphicFramePr>
      <xdr:xfrm>
        <a:off x="6381750" y="10629900"/>
        <a:ext cx="3971925" cy="3486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2:E69"/>
  <sheetViews>
    <sheetView showGridLines="0" tabSelected="1" zoomScale="95" zoomScaleNormal="95" zoomScaleSheetLayoutView="100" zoomScalePageLayoutView="0" workbookViewId="0" topLeftCell="A1">
      <selection activeCell="E6" sqref="E6"/>
    </sheetView>
  </sheetViews>
  <sheetFormatPr defaultColWidth="9.00390625" defaultRowHeight="15"/>
  <cols>
    <col min="1" max="1" width="143.8515625" style="1" customWidth="1"/>
    <col min="2" max="16384" width="9.00390625" style="1" customWidth="1"/>
  </cols>
  <sheetData>
    <row r="1" ht="18" customHeight="1"/>
    <row r="2" spans="1:4" ht="91.5" customHeight="1">
      <c r="A2" s="232" t="s">
        <v>418</v>
      </c>
      <c r="B2" s="38"/>
      <c r="C2" s="38"/>
      <c r="D2" s="38"/>
    </row>
    <row r="3" spans="1:4" ht="35.25" customHeight="1">
      <c r="A3" s="281" t="s">
        <v>380</v>
      </c>
      <c r="B3" s="39"/>
      <c r="C3" s="39"/>
      <c r="D3" s="39"/>
    </row>
    <row r="4" spans="1:4" ht="54" customHeight="1">
      <c r="A4" s="2"/>
      <c r="B4" s="2"/>
      <c r="C4" s="2"/>
      <c r="D4" s="2"/>
    </row>
    <row r="5" spans="1:4" ht="70.5">
      <c r="A5" s="53" t="s">
        <v>381</v>
      </c>
      <c r="B5" s="2"/>
      <c r="C5" s="2"/>
      <c r="D5" s="2"/>
    </row>
    <row r="6" spans="1:5" ht="124.5" customHeight="1">
      <c r="A6" s="298" t="s">
        <v>79</v>
      </c>
      <c r="B6" s="37"/>
      <c r="C6" s="37"/>
      <c r="D6" s="37"/>
      <c r="E6" s="36"/>
    </row>
    <row r="7" spans="1:5" ht="44.25" customHeight="1">
      <c r="A7" s="297" t="s">
        <v>215</v>
      </c>
      <c r="B7" s="37"/>
      <c r="C7" s="37"/>
      <c r="D7" s="37"/>
      <c r="E7" s="36"/>
    </row>
    <row r="8" spans="1:5" ht="56.25" customHeight="1">
      <c r="A8" s="266" t="s">
        <v>216</v>
      </c>
      <c r="B8" s="37"/>
      <c r="C8" s="37"/>
      <c r="D8" s="37"/>
      <c r="E8" s="36"/>
    </row>
    <row r="9" spans="1:5" s="3" customFormat="1" ht="35.25" customHeight="1" thickBot="1">
      <c r="A9" s="54" t="s">
        <v>31</v>
      </c>
      <c r="B9" s="36"/>
      <c r="C9" s="36"/>
      <c r="D9" s="36"/>
      <c r="E9" s="36"/>
    </row>
    <row r="10" spans="1:5" s="3" customFormat="1" ht="19.5" thickTop="1">
      <c r="A10" s="317" t="s">
        <v>292</v>
      </c>
      <c r="B10" s="36"/>
      <c r="C10" s="36"/>
      <c r="D10" s="36"/>
      <c r="E10" s="36"/>
    </row>
    <row r="11" spans="1:5" s="3" customFormat="1" ht="19.5" customHeight="1">
      <c r="A11" s="318" t="s">
        <v>293</v>
      </c>
      <c r="B11" s="40"/>
      <c r="C11" s="40"/>
      <c r="D11" s="36"/>
      <c r="E11" s="36"/>
    </row>
    <row r="12" spans="1:5" s="3" customFormat="1" ht="19.5" customHeight="1">
      <c r="A12" s="319" t="s">
        <v>294</v>
      </c>
      <c r="B12" s="41"/>
      <c r="C12" s="41"/>
      <c r="D12" s="36"/>
      <c r="E12" s="36"/>
    </row>
    <row r="13" spans="1:5" s="3" customFormat="1" ht="19.5" customHeight="1">
      <c r="A13" s="320" t="s">
        <v>295</v>
      </c>
      <c r="B13" s="41"/>
      <c r="C13" s="41"/>
      <c r="D13" s="36"/>
      <c r="E13" s="36"/>
    </row>
    <row r="14" spans="1:5" s="3" customFormat="1" ht="19.5" customHeight="1">
      <c r="A14" s="321" t="s">
        <v>296</v>
      </c>
      <c r="B14" s="41"/>
      <c r="C14" s="41"/>
      <c r="D14" s="36"/>
      <c r="E14" s="36"/>
    </row>
    <row r="15" spans="1:5" s="3" customFormat="1" ht="19.5" customHeight="1">
      <c r="A15" s="322" t="s">
        <v>482</v>
      </c>
      <c r="B15" s="41"/>
      <c r="C15" s="41"/>
      <c r="D15" s="36"/>
      <c r="E15" s="36"/>
    </row>
    <row r="16" spans="1:5" s="3" customFormat="1" ht="19.5" customHeight="1">
      <c r="A16" s="323" t="s">
        <v>297</v>
      </c>
      <c r="B16" s="41"/>
      <c r="C16" s="41"/>
      <c r="D16" s="36"/>
      <c r="E16" s="36"/>
    </row>
    <row r="17" spans="1:5" s="3" customFormat="1" ht="19.5" customHeight="1">
      <c r="A17" s="267" t="s">
        <v>483</v>
      </c>
      <c r="B17" s="41"/>
      <c r="C17" s="41"/>
      <c r="D17" s="36"/>
      <c r="E17" s="36"/>
    </row>
    <row r="18" spans="1:5" s="3" customFormat="1" ht="19.5" customHeight="1">
      <c r="A18" s="324" t="s">
        <v>298</v>
      </c>
      <c r="B18" s="41"/>
      <c r="C18" s="41"/>
      <c r="D18" s="36"/>
      <c r="E18" s="36"/>
    </row>
    <row r="19" spans="1:5" s="3" customFormat="1" ht="19.5" customHeight="1" thickBot="1">
      <c r="A19" s="325" t="s">
        <v>484</v>
      </c>
      <c r="B19" s="41"/>
      <c r="C19" s="41"/>
      <c r="D19" s="36"/>
      <c r="E19" s="36"/>
    </row>
    <row r="20" spans="1:5" s="3" customFormat="1" ht="19.5" thickTop="1">
      <c r="A20" s="326"/>
      <c r="B20" s="41"/>
      <c r="C20" s="41"/>
      <c r="D20" s="36"/>
      <c r="E20" s="36"/>
    </row>
    <row r="21" spans="1:5" ht="32.25" customHeight="1">
      <c r="A21" s="380" t="s">
        <v>30</v>
      </c>
      <c r="B21" s="381"/>
      <c r="C21" s="381"/>
      <c r="D21" s="381"/>
      <c r="E21" s="36"/>
    </row>
    <row r="22" spans="1:5" ht="120.75" customHeight="1">
      <c r="A22" s="55" t="s">
        <v>492</v>
      </c>
      <c r="B22" s="37"/>
      <c r="C22" s="37"/>
      <c r="D22" s="37"/>
      <c r="E22" s="37"/>
    </row>
    <row r="23" spans="1:5" ht="125.25" customHeight="1" thickBot="1">
      <c r="A23" s="53" t="s">
        <v>195</v>
      </c>
      <c r="B23" s="37"/>
      <c r="C23" s="37"/>
      <c r="D23" s="37"/>
      <c r="E23" s="37"/>
    </row>
    <row r="24" spans="1:5" ht="26.25" customHeight="1" thickTop="1">
      <c r="A24" s="50" t="s">
        <v>382</v>
      </c>
      <c r="B24" s="37"/>
      <c r="C24" s="37"/>
      <c r="D24" s="37"/>
      <c r="E24" s="37"/>
    </row>
    <row r="25" spans="1:5" ht="24.75" customHeight="1">
      <c r="A25" s="45" t="s">
        <v>53</v>
      </c>
      <c r="B25" s="37"/>
      <c r="C25" s="37"/>
      <c r="D25" s="37"/>
      <c r="E25" s="37"/>
    </row>
    <row r="26" spans="1:5" ht="36.75" customHeight="1">
      <c r="A26" s="45" t="s">
        <v>493</v>
      </c>
      <c r="B26" s="37"/>
      <c r="C26" s="37"/>
      <c r="D26" s="37"/>
      <c r="E26" s="37"/>
    </row>
    <row r="27" spans="1:5" ht="24.75" customHeight="1">
      <c r="A27" s="45" t="s">
        <v>494</v>
      </c>
      <c r="B27" s="37"/>
      <c r="C27" s="37"/>
      <c r="D27" s="37"/>
      <c r="E27" s="37"/>
    </row>
    <row r="28" spans="1:5" ht="24.75" customHeight="1">
      <c r="A28" s="45" t="s">
        <v>495</v>
      </c>
      <c r="B28" s="37"/>
      <c r="C28" s="37"/>
      <c r="D28" s="37"/>
      <c r="E28" s="37"/>
    </row>
    <row r="29" spans="1:5" ht="36.75" customHeight="1">
      <c r="A29" s="268" t="s">
        <v>496</v>
      </c>
      <c r="B29" s="37"/>
      <c r="C29" s="37"/>
      <c r="D29" s="37"/>
      <c r="E29" s="37"/>
    </row>
    <row r="30" spans="1:5" ht="36.75" customHeight="1">
      <c r="A30" s="268" t="s">
        <v>217</v>
      </c>
      <c r="B30" s="37"/>
      <c r="C30" s="37"/>
      <c r="D30" s="37"/>
      <c r="E30" s="37"/>
    </row>
    <row r="31" spans="1:5" ht="36.75" customHeight="1">
      <c r="A31" s="45" t="s">
        <v>0</v>
      </c>
      <c r="B31" s="37"/>
      <c r="C31" s="37"/>
      <c r="D31" s="37"/>
      <c r="E31" s="37"/>
    </row>
    <row r="32" spans="1:5" ht="21.75" customHeight="1">
      <c r="A32" s="268" t="s">
        <v>56</v>
      </c>
      <c r="B32" s="37"/>
      <c r="C32" s="37"/>
      <c r="D32" s="37"/>
      <c r="E32" s="37"/>
    </row>
    <row r="33" spans="1:5" ht="24.75" customHeight="1">
      <c r="A33" s="45" t="s">
        <v>497</v>
      </c>
      <c r="B33" s="40"/>
      <c r="C33" s="40"/>
      <c r="D33" s="40"/>
      <c r="E33" s="42"/>
    </row>
    <row r="34" spans="1:5" ht="24.75" customHeight="1">
      <c r="A34" s="268" t="s">
        <v>480</v>
      </c>
      <c r="B34" s="43"/>
      <c r="C34" s="43"/>
      <c r="D34" s="43"/>
      <c r="E34" s="42"/>
    </row>
    <row r="35" spans="1:5" ht="24.75" customHeight="1">
      <c r="A35" s="45" t="s">
        <v>499</v>
      </c>
      <c r="B35" s="43"/>
      <c r="C35" s="43"/>
      <c r="D35" s="43"/>
      <c r="E35" s="42"/>
    </row>
    <row r="36" spans="1:5" ht="37.5" customHeight="1">
      <c r="A36" s="268" t="s">
        <v>475</v>
      </c>
      <c r="B36" s="43"/>
      <c r="C36" s="43"/>
      <c r="D36" s="43"/>
      <c r="E36" s="42"/>
    </row>
    <row r="37" spans="1:5" ht="24.75" customHeight="1">
      <c r="A37" s="268" t="s">
        <v>272</v>
      </c>
      <c r="B37" s="43"/>
      <c r="C37" s="43"/>
      <c r="D37" s="43"/>
      <c r="E37" s="42"/>
    </row>
    <row r="38" spans="1:5" ht="24.75" customHeight="1">
      <c r="A38" s="268" t="s">
        <v>120</v>
      </c>
      <c r="B38" s="43"/>
      <c r="C38" s="43"/>
      <c r="D38" s="43"/>
      <c r="E38" s="42"/>
    </row>
    <row r="39" spans="1:5" ht="24.75" customHeight="1">
      <c r="A39" s="268" t="s">
        <v>121</v>
      </c>
      <c r="B39" s="43"/>
      <c r="C39" s="43"/>
      <c r="D39" s="43"/>
      <c r="E39" s="42"/>
    </row>
    <row r="40" spans="1:5" ht="24.75" customHeight="1">
      <c r="A40" s="268" t="s">
        <v>182</v>
      </c>
      <c r="B40" s="43"/>
      <c r="C40" s="43"/>
      <c r="D40" s="43"/>
      <c r="E40" s="42"/>
    </row>
    <row r="41" spans="1:5" ht="24.75" customHeight="1">
      <c r="A41" s="268" t="s">
        <v>122</v>
      </c>
      <c r="B41" s="43"/>
      <c r="C41" s="43"/>
      <c r="D41" s="43"/>
      <c r="E41" s="42"/>
    </row>
    <row r="42" spans="1:5" ht="24.75" customHeight="1">
      <c r="A42" s="268" t="s">
        <v>474</v>
      </c>
      <c r="B42" s="43"/>
      <c r="C42" s="43"/>
      <c r="D42" s="43"/>
      <c r="E42" s="42"/>
    </row>
    <row r="43" spans="1:5" ht="24.75" customHeight="1">
      <c r="A43" s="268" t="s">
        <v>473</v>
      </c>
      <c r="B43" s="43"/>
      <c r="C43" s="43"/>
      <c r="D43" s="43"/>
      <c r="E43" s="42"/>
    </row>
    <row r="44" spans="1:5" ht="27" customHeight="1" thickBot="1">
      <c r="A44" s="292" t="s">
        <v>183</v>
      </c>
      <c r="B44" s="36"/>
      <c r="C44" s="36"/>
      <c r="D44" s="36"/>
      <c r="E44" s="36"/>
    </row>
    <row r="45" spans="1:5" ht="15" customHeight="1" thickBot="1" thickTop="1">
      <c r="A45" s="36"/>
      <c r="B45" s="36"/>
      <c r="C45" s="36"/>
      <c r="D45" s="36"/>
      <c r="E45" s="36"/>
    </row>
    <row r="46" spans="1:5" ht="24" customHeight="1" thickTop="1">
      <c r="A46" s="51" t="s">
        <v>498</v>
      </c>
      <c r="B46" s="46"/>
      <c r="C46" s="46"/>
      <c r="D46" s="46"/>
      <c r="E46" s="36"/>
    </row>
    <row r="47" spans="1:5" ht="52.5" customHeight="1">
      <c r="A47" s="172" t="s">
        <v>57</v>
      </c>
      <c r="B47" s="47"/>
      <c r="C47" s="47"/>
      <c r="D47" s="47"/>
      <c r="E47" s="36"/>
    </row>
    <row r="48" spans="1:5" ht="34.5" customHeight="1">
      <c r="A48" s="172" t="s">
        <v>116</v>
      </c>
      <c r="B48" s="47"/>
      <c r="C48" s="47"/>
      <c r="D48" s="47"/>
      <c r="E48" s="36"/>
    </row>
    <row r="49" spans="1:5" ht="19.5" customHeight="1">
      <c r="A49" s="48" t="s">
        <v>500</v>
      </c>
      <c r="B49" s="47"/>
      <c r="C49" s="47"/>
      <c r="D49" s="47"/>
      <c r="E49" s="36"/>
    </row>
    <row r="50" spans="1:5" ht="19.5" customHeight="1">
      <c r="A50" s="48" t="s">
        <v>33</v>
      </c>
      <c r="B50" s="47"/>
      <c r="C50" s="47"/>
      <c r="D50" s="47"/>
      <c r="E50" s="36"/>
    </row>
    <row r="51" spans="1:5" ht="37.5" customHeight="1">
      <c r="A51" s="172" t="s">
        <v>1</v>
      </c>
      <c r="B51" s="47"/>
      <c r="C51" s="47"/>
      <c r="D51" s="47"/>
      <c r="E51" s="36"/>
    </row>
    <row r="52" spans="1:5" ht="19.5" customHeight="1">
      <c r="A52" s="172" t="s">
        <v>115</v>
      </c>
      <c r="B52" s="47"/>
      <c r="C52" s="47"/>
      <c r="D52" s="47"/>
      <c r="E52" s="36"/>
    </row>
    <row r="53" spans="1:5" ht="19.5" customHeight="1">
      <c r="A53" s="48" t="s">
        <v>2</v>
      </c>
      <c r="B53" s="47"/>
      <c r="C53" s="47"/>
      <c r="D53" s="47"/>
      <c r="E53" s="36"/>
    </row>
    <row r="54" spans="1:5" ht="19.5" customHeight="1" thickBot="1">
      <c r="A54" s="49" t="s">
        <v>3</v>
      </c>
      <c r="B54" s="47"/>
      <c r="C54" s="47"/>
      <c r="D54" s="47"/>
      <c r="E54" s="36"/>
    </row>
    <row r="55" spans="1:5" ht="16.5" thickTop="1">
      <c r="A55" s="52" t="s">
        <v>32</v>
      </c>
      <c r="B55" s="36"/>
      <c r="C55" s="36"/>
      <c r="D55" s="36"/>
      <c r="E55" s="36"/>
    </row>
    <row r="56" spans="1:5" ht="15.75">
      <c r="A56" s="36"/>
      <c r="B56" s="36"/>
      <c r="C56" s="36"/>
      <c r="D56" s="36"/>
      <c r="E56" s="36"/>
    </row>
    <row r="57" spans="1:5" ht="15.75">
      <c r="A57" s="36"/>
      <c r="B57" s="36"/>
      <c r="C57" s="36"/>
      <c r="D57" s="36"/>
      <c r="E57" s="36"/>
    </row>
    <row r="58" spans="1:5" ht="15.75">
      <c r="A58" s="36"/>
      <c r="B58" s="36"/>
      <c r="C58" s="36"/>
      <c r="D58" s="36"/>
      <c r="E58" s="36"/>
    </row>
    <row r="59" spans="1:5" ht="15.75">
      <c r="A59" s="36"/>
      <c r="B59" s="36"/>
      <c r="C59" s="36"/>
      <c r="D59" s="36"/>
      <c r="E59" s="36"/>
    </row>
    <row r="60" spans="1:5" ht="15.75">
      <c r="A60" s="36"/>
      <c r="B60" s="36"/>
      <c r="C60" s="36"/>
      <c r="D60" s="36"/>
      <c r="E60" s="36"/>
    </row>
    <row r="61" spans="1:5" ht="15.75">
      <c r="A61" s="36"/>
      <c r="B61" s="36"/>
      <c r="C61" s="36"/>
      <c r="D61" s="36"/>
      <c r="E61" s="36"/>
    </row>
    <row r="62" spans="1:5" ht="15.75">
      <c r="A62" s="36"/>
      <c r="B62" s="36"/>
      <c r="C62" s="36"/>
      <c r="D62" s="36"/>
      <c r="E62" s="36"/>
    </row>
    <row r="63" spans="1:5" ht="15.75">
      <c r="A63" s="36"/>
      <c r="B63" s="36"/>
      <c r="C63" s="36"/>
      <c r="D63" s="36"/>
      <c r="E63" s="36"/>
    </row>
    <row r="64" spans="1:5" ht="15.75">
      <c r="A64" s="36"/>
      <c r="B64" s="36"/>
      <c r="C64" s="36"/>
      <c r="D64" s="36"/>
      <c r="E64" s="36"/>
    </row>
    <row r="65" spans="1:5" ht="15.75">
      <c r="A65" s="36"/>
      <c r="B65" s="36"/>
      <c r="C65" s="36"/>
      <c r="D65" s="36"/>
      <c r="E65" s="36"/>
    </row>
    <row r="66" spans="1:5" ht="15.75">
      <c r="A66" s="36"/>
      <c r="B66" s="36"/>
      <c r="C66" s="36"/>
      <c r="D66" s="36"/>
      <c r="E66" s="36"/>
    </row>
    <row r="67" spans="1:5" ht="15.75">
      <c r="A67" s="36"/>
      <c r="B67" s="36"/>
      <c r="C67" s="36"/>
      <c r="D67" s="36"/>
      <c r="E67" s="36"/>
    </row>
    <row r="68" spans="1:5" ht="15.75">
      <c r="A68" s="36"/>
      <c r="B68" s="36"/>
      <c r="C68" s="36"/>
      <c r="D68" s="36"/>
      <c r="E68" s="36"/>
    </row>
    <row r="69" spans="1:5" ht="15.75">
      <c r="A69" s="36"/>
      <c r="B69" s="36"/>
      <c r="C69" s="36"/>
      <c r="D69" s="36"/>
      <c r="E69" s="36"/>
    </row>
  </sheetData>
  <sheetProtection selectLockedCells="1"/>
  <mergeCells count="1">
    <mergeCell ref="A21:D21"/>
  </mergeCells>
  <printOptions/>
  <pageMargins left="0.7086614173228347" right="0.7086614173228347" top="0.7480314960629921" bottom="0.7480314960629921" header="0.31496062992125984" footer="0.31496062992125984"/>
  <pageSetup fitToHeight="0" orientation="portrait" scale="69" r:id="rId2"/>
  <rowBreaks count="1" manualBreakCount="1">
    <brk id="22" max="255" man="1"/>
  </rowBreaks>
  <drawing r:id="rId1"/>
</worksheet>
</file>

<file path=xl/worksheets/sheet10.xml><?xml version="1.0" encoding="utf-8"?>
<worksheet xmlns="http://schemas.openxmlformats.org/spreadsheetml/2006/main" xmlns:r="http://schemas.openxmlformats.org/officeDocument/2006/relationships">
  <sheetPr>
    <tabColor indexed="46"/>
  </sheetPr>
  <dimension ref="A2:O47"/>
  <sheetViews>
    <sheetView zoomScalePageLayoutView="0" workbookViewId="0" topLeftCell="A1">
      <selection activeCell="D22" sqref="D22"/>
    </sheetView>
  </sheetViews>
  <sheetFormatPr defaultColWidth="9.140625" defaultRowHeight="15"/>
  <cols>
    <col min="1" max="1" width="3.8515625" style="0" customWidth="1"/>
    <col min="2" max="2" width="9.7109375" style="0" customWidth="1"/>
    <col min="3" max="3" width="100.7109375" style="0" customWidth="1"/>
  </cols>
  <sheetData>
    <row r="1" s="310" customFormat="1" ht="6.75" customHeight="1" thickBot="1"/>
    <row r="2" spans="1:15" ht="28.5" thickBot="1">
      <c r="A2" s="310"/>
      <c r="B2" s="441" t="s">
        <v>354</v>
      </c>
      <c r="C2" s="442"/>
      <c r="D2" s="310"/>
      <c r="E2" s="310"/>
      <c r="F2" s="310"/>
      <c r="G2" s="310"/>
      <c r="H2" s="310"/>
      <c r="I2" s="310"/>
      <c r="J2" s="310"/>
      <c r="K2" s="310"/>
      <c r="L2" s="310"/>
      <c r="M2" s="310"/>
      <c r="N2" s="310"/>
      <c r="O2" s="310"/>
    </row>
    <row r="3" spans="1:15" ht="18" customHeight="1">
      <c r="A3" s="310"/>
      <c r="B3" s="374" t="s">
        <v>306</v>
      </c>
      <c r="C3" s="375" t="s">
        <v>307</v>
      </c>
      <c r="D3" s="310"/>
      <c r="E3" s="310"/>
      <c r="F3" s="310"/>
      <c r="G3" s="310"/>
      <c r="H3" s="310"/>
      <c r="I3" s="310"/>
      <c r="J3" s="310"/>
      <c r="K3" s="310"/>
      <c r="L3" s="310"/>
      <c r="M3" s="310"/>
      <c r="N3" s="310"/>
      <c r="O3" s="310"/>
    </row>
    <row r="4" spans="1:15" ht="18" customHeight="1">
      <c r="A4" s="310"/>
      <c r="B4" s="376" t="s">
        <v>308</v>
      </c>
      <c r="C4" s="377" t="s">
        <v>309</v>
      </c>
      <c r="D4" s="310"/>
      <c r="E4" s="310"/>
      <c r="F4" s="310"/>
      <c r="G4" s="310"/>
      <c r="H4" s="310"/>
      <c r="I4" s="310"/>
      <c r="J4" s="310"/>
      <c r="K4" s="310"/>
      <c r="L4" s="310"/>
      <c r="M4" s="310"/>
      <c r="N4" s="310"/>
      <c r="O4" s="310"/>
    </row>
    <row r="5" spans="1:15" ht="18" customHeight="1">
      <c r="A5" s="310"/>
      <c r="B5" s="376" t="s">
        <v>310</v>
      </c>
      <c r="C5" s="377" t="s">
        <v>311</v>
      </c>
      <c r="D5" s="310"/>
      <c r="E5" s="310"/>
      <c r="F5" s="310"/>
      <c r="G5" s="310"/>
      <c r="H5" s="310"/>
      <c r="I5" s="310"/>
      <c r="J5" s="310"/>
      <c r="K5" s="310"/>
      <c r="L5" s="310"/>
      <c r="M5" s="310"/>
      <c r="N5" s="310"/>
      <c r="O5" s="310"/>
    </row>
    <row r="6" spans="1:15" ht="18" customHeight="1">
      <c r="A6" s="310"/>
      <c r="B6" s="376" t="s">
        <v>312</v>
      </c>
      <c r="C6" s="377" t="s">
        <v>313</v>
      </c>
      <c r="D6" s="310"/>
      <c r="E6" s="310"/>
      <c r="F6" s="310"/>
      <c r="G6" s="310"/>
      <c r="H6" s="310"/>
      <c r="I6" s="310"/>
      <c r="J6" s="310"/>
      <c r="K6" s="310"/>
      <c r="L6" s="310"/>
      <c r="M6" s="310"/>
      <c r="N6" s="310"/>
      <c r="O6" s="310"/>
    </row>
    <row r="7" spans="1:15" ht="18" customHeight="1">
      <c r="A7" s="310"/>
      <c r="B7" s="376" t="s">
        <v>314</v>
      </c>
      <c r="C7" s="377" t="s">
        <v>315</v>
      </c>
      <c r="D7" s="310"/>
      <c r="E7" s="310"/>
      <c r="F7" s="310"/>
      <c r="G7" s="310"/>
      <c r="H7" s="310"/>
      <c r="I7" s="310"/>
      <c r="J7" s="310"/>
      <c r="K7" s="310"/>
      <c r="L7" s="310"/>
      <c r="M7" s="310"/>
      <c r="N7" s="310"/>
      <c r="O7" s="310"/>
    </row>
    <row r="8" spans="1:15" ht="18" customHeight="1">
      <c r="A8" s="310"/>
      <c r="B8" s="376" t="s">
        <v>316</v>
      </c>
      <c r="C8" s="377" t="s">
        <v>317</v>
      </c>
      <c r="D8" s="310"/>
      <c r="E8" s="310"/>
      <c r="F8" s="310"/>
      <c r="G8" s="310"/>
      <c r="H8" s="310"/>
      <c r="I8" s="310"/>
      <c r="J8" s="310"/>
      <c r="K8" s="310"/>
      <c r="L8" s="310"/>
      <c r="M8" s="310"/>
      <c r="N8" s="310"/>
      <c r="O8" s="310"/>
    </row>
    <row r="9" spans="1:15" ht="18" customHeight="1">
      <c r="A9" s="310"/>
      <c r="B9" s="376" t="s">
        <v>318</v>
      </c>
      <c r="C9" s="377" t="s">
        <v>319</v>
      </c>
      <c r="D9" s="310"/>
      <c r="E9" s="310"/>
      <c r="F9" s="310"/>
      <c r="G9" s="310"/>
      <c r="H9" s="310"/>
      <c r="I9" s="310"/>
      <c r="J9" s="310"/>
      <c r="K9" s="310"/>
      <c r="L9" s="310"/>
      <c r="M9" s="310"/>
      <c r="N9" s="310"/>
      <c r="O9" s="310"/>
    </row>
    <row r="10" spans="1:15" ht="18" customHeight="1">
      <c r="A10" s="310"/>
      <c r="B10" s="376" t="s">
        <v>320</v>
      </c>
      <c r="C10" s="377" t="s">
        <v>321</v>
      </c>
      <c r="D10" s="310"/>
      <c r="E10" s="310"/>
      <c r="F10" s="310"/>
      <c r="G10" s="310"/>
      <c r="H10" s="310"/>
      <c r="I10" s="310"/>
      <c r="J10" s="310"/>
      <c r="K10" s="310"/>
      <c r="L10" s="310"/>
      <c r="M10" s="310"/>
      <c r="N10" s="310"/>
      <c r="O10" s="310"/>
    </row>
    <row r="11" spans="1:15" ht="18" customHeight="1">
      <c r="A11" s="310"/>
      <c r="B11" s="376" t="s">
        <v>322</v>
      </c>
      <c r="C11" s="377" t="s">
        <v>323</v>
      </c>
      <c r="D11" s="310"/>
      <c r="E11" s="310"/>
      <c r="F11" s="310"/>
      <c r="G11" s="310"/>
      <c r="H11" s="310"/>
      <c r="I11" s="310"/>
      <c r="J11" s="310"/>
      <c r="K11" s="310"/>
      <c r="L11" s="310"/>
      <c r="M11" s="310"/>
      <c r="N11" s="310"/>
      <c r="O11" s="310"/>
    </row>
    <row r="12" spans="1:15" ht="18" customHeight="1">
      <c r="A12" s="310"/>
      <c r="B12" s="376" t="s">
        <v>324</v>
      </c>
      <c r="C12" s="377" t="s">
        <v>325</v>
      </c>
      <c r="D12" s="310"/>
      <c r="E12" s="310"/>
      <c r="F12" s="310"/>
      <c r="G12" s="310"/>
      <c r="H12" s="310"/>
      <c r="I12" s="310"/>
      <c r="J12" s="310"/>
      <c r="K12" s="310"/>
      <c r="L12" s="310"/>
      <c r="M12" s="310"/>
      <c r="N12" s="310"/>
      <c r="O12" s="310"/>
    </row>
    <row r="13" spans="1:15" ht="18" customHeight="1">
      <c r="A13" s="310"/>
      <c r="B13" s="376" t="s">
        <v>326</v>
      </c>
      <c r="C13" s="377" t="s">
        <v>327</v>
      </c>
      <c r="D13" s="310"/>
      <c r="E13" s="310"/>
      <c r="F13" s="310"/>
      <c r="G13" s="310"/>
      <c r="H13" s="310"/>
      <c r="I13" s="310"/>
      <c r="J13" s="310"/>
      <c r="K13" s="310"/>
      <c r="L13" s="310"/>
      <c r="M13" s="310"/>
      <c r="N13" s="310"/>
      <c r="O13" s="310"/>
    </row>
    <row r="14" spans="1:15" ht="18" customHeight="1">
      <c r="A14" s="310"/>
      <c r="B14" s="376" t="s">
        <v>328</v>
      </c>
      <c r="C14" s="377" t="s">
        <v>329</v>
      </c>
      <c r="D14" s="310"/>
      <c r="E14" s="310"/>
      <c r="F14" s="310"/>
      <c r="G14" s="310"/>
      <c r="H14" s="310"/>
      <c r="I14" s="310"/>
      <c r="J14" s="310"/>
      <c r="K14" s="310"/>
      <c r="L14" s="310"/>
      <c r="M14" s="310"/>
      <c r="N14" s="310"/>
      <c r="O14" s="310"/>
    </row>
    <row r="15" spans="1:15" ht="18" customHeight="1">
      <c r="A15" s="310"/>
      <c r="B15" s="376" t="s">
        <v>330</v>
      </c>
      <c r="C15" s="377" t="s">
        <v>331</v>
      </c>
      <c r="D15" s="310"/>
      <c r="E15" s="310"/>
      <c r="F15" s="310"/>
      <c r="G15" s="310"/>
      <c r="H15" s="310"/>
      <c r="I15" s="310"/>
      <c r="J15" s="310"/>
      <c r="K15" s="310"/>
      <c r="L15" s="310"/>
      <c r="M15" s="310"/>
      <c r="N15" s="310"/>
      <c r="O15" s="310"/>
    </row>
    <row r="16" spans="1:15" ht="18" customHeight="1">
      <c r="A16" s="310"/>
      <c r="B16" s="376" t="s">
        <v>332</v>
      </c>
      <c r="C16" s="377" t="s">
        <v>333</v>
      </c>
      <c r="D16" s="310"/>
      <c r="E16" s="310"/>
      <c r="F16" s="310"/>
      <c r="G16" s="310"/>
      <c r="H16" s="310"/>
      <c r="I16" s="310"/>
      <c r="J16" s="310"/>
      <c r="K16" s="310"/>
      <c r="L16" s="310"/>
      <c r="M16" s="310"/>
      <c r="N16" s="310"/>
      <c r="O16" s="310"/>
    </row>
    <row r="17" spans="1:15" ht="18" customHeight="1">
      <c r="A17" s="310"/>
      <c r="B17" s="376" t="s">
        <v>334</v>
      </c>
      <c r="C17" s="377" t="s">
        <v>335</v>
      </c>
      <c r="D17" s="310"/>
      <c r="E17" s="310"/>
      <c r="F17" s="310"/>
      <c r="G17" s="310"/>
      <c r="H17" s="310"/>
      <c r="I17" s="310"/>
      <c r="J17" s="310"/>
      <c r="K17" s="310"/>
      <c r="L17" s="310"/>
      <c r="M17" s="310"/>
      <c r="N17" s="310"/>
      <c r="O17" s="310"/>
    </row>
    <row r="18" spans="1:15" ht="18" customHeight="1">
      <c r="A18" s="310"/>
      <c r="B18" s="376" t="s">
        <v>336</v>
      </c>
      <c r="C18" s="377" t="s">
        <v>337</v>
      </c>
      <c r="D18" s="310"/>
      <c r="E18" s="310"/>
      <c r="F18" s="310"/>
      <c r="G18" s="310"/>
      <c r="H18" s="310"/>
      <c r="I18" s="310"/>
      <c r="J18" s="310"/>
      <c r="K18" s="310"/>
      <c r="L18" s="310"/>
      <c r="M18" s="310"/>
      <c r="N18" s="310"/>
      <c r="O18" s="310"/>
    </row>
    <row r="19" spans="1:15" ht="18" customHeight="1">
      <c r="A19" s="310"/>
      <c r="B19" s="376" t="s">
        <v>338</v>
      </c>
      <c r="C19" s="377" t="s">
        <v>339</v>
      </c>
      <c r="D19" s="310"/>
      <c r="E19" s="310"/>
      <c r="F19" s="310"/>
      <c r="G19" s="310"/>
      <c r="H19" s="310"/>
      <c r="I19" s="310"/>
      <c r="J19" s="310"/>
      <c r="K19" s="310"/>
      <c r="L19" s="310"/>
      <c r="M19" s="310"/>
      <c r="N19" s="310"/>
      <c r="O19" s="310"/>
    </row>
    <row r="20" spans="1:15" ht="18" customHeight="1">
      <c r="A20" s="310"/>
      <c r="B20" s="376" t="s">
        <v>340</v>
      </c>
      <c r="C20" s="377" t="s">
        <v>341</v>
      </c>
      <c r="D20" s="310"/>
      <c r="E20" s="310"/>
      <c r="F20" s="310"/>
      <c r="G20" s="310"/>
      <c r="H20" s="310"/>
      <c r="I20" s="310"/>
      <c r="J20" s="310"/>
      <c r="K20" s="310"/>
      <c r="L20" s="310"/>
      <c r="M20" s="310"/>
      <c r="N20" s="310"/>
      <c r="O20" s="310"/>
    </row>
    <row r="21" spans="1:15" ht="18" customHeight="1">
      <c r="A21" s="310"/>
      <c r="B21" s="376" t="s">
        <v>342</v>
      </c>
      <c r="C21" s="377" t="s">
        <v>343</v>
      </c>
      <c r="D21" s="310"/>
      <c r="E21" s="310"/>
      <c r="F21" s="310"/>
      <c r="G21" s="310"/>
      <c r="H21" s="310"/>
      <c r="I21" s="310"/>
      <c r="J21" s="310"/>
      <c r="K21" s="310"/>
      <c r="L21" s="310"/>
      <c r="M21" s="310"/>
      <c r="N21" s="310"/>
      <c r="O21" s="310"/>
    </row>
    <row r="22" spans="1:15" ht="18" customHeight="1">
      <c r="A22" s="310"/>
      <c r="B22" s="376" t="s">
        <v>18</v>
      </c>
      <c r="C22" s="377" t="s">
        <v>344</v>
      </c>
      <c r="D22" s="310"/>
      <c r="E22" s="310"/>
      <c r="F22" s="310"/>
      <c r="G22" s="310"/>
      <c r="H22" s="310"/>
      <c r="I22" s="310"/>
      <c r="J22" s="310"/>
      <c r="K22" s="310"/>
      <c r="L22" s="310"/>
      <c r="M22" s="310"/>
      <c r="N22" s="310"/>
      <c r="O22" s="310"/>
    </row>
    <row r="23" spans="1:15" ht="18" customHeight="1">
      <c r="A23" s="310"/>
      <c r="B23" s="376" t="s">
        <v>288</v>
      </c>
      <c r="C23" s="377" t="s">
        <v>345</v>
      </c>
      <c r="D23" s="310"/>
      <c r="E23" s="310"/>
      <c r="F23" s="310"/>
      <c r="G23" s="310"/>
      <c r="H23" s="310"/>
      <c r="I23" s="310"/>
      <c r="J23" s="310"/>
      <c r="K23" s="310"/>
      <c r="L23" s="310"/>
      <c r="M23" s="310"/>
      <c r="N23" s="310"/>
      <c r="O23" s="310"/>
    </row>
    <row r="24" spans="1:15" ht="18" customHeight="1">
      <c r="A24" s="310"/>
      <c r="B24" s="376" t="s">
        <v>346</v>
      </c>
      <c r="C24" s="377" t="s">
        <v>347</v>
      </c>
      <c r="D24" s="310"/>
      <c r="E24" s="310"/>
      <c r="F24" s="310"/>
      <c r="G24" s="310"/>
      <c r="H24" s="310"/>
      <c r="I24" s="310"/>
      <c r="J24" s="310"/>
      <c r="K24" s="310"/>
      <c r="L24" s="310"/>
      <c r="M24" s="310"/>
      <c r="N24" s="310"/>
      <c r="O24" s="310"/>
    </row>
    <row r="25" spans="1:15" ht="18" customHeight="1">
      <c r="A25" s="310"/>
      <c r="B25" s="376" t="s">
        <v>348</v>
      </c>
      <c r="C25" s="377" t="s">
        <v>349</v>
      </c>
      <c r="D25" s="310"/>
      <c r="E25" s="310"/>
      <c r="F25" s="310"/>
      <c r="G25" s="310"/>
      <c r="H25" s="310"/>
      <c r="I25" s="310"/>
      <c r="J25" s="310"/>
      <c r="K25" s="310"/>
      <c r="L25" s="310"/>
      <c r="M25" s="310"/>
      <c r="N25" s="310"/>
      <c r="O25" s="310"/>
    </row>
    <row r="26" spans="1:15" ht="18" customHeight="1">
      <c r="A26" s="310"/>
      <c r="B26" s="376" t="s">
        <v>350</v>
      </c>
      <c r="C26" s="377" t="s">
        <v>351</v>
      </c>
      <c r="D26" s="310"/>
      <c r="E26" s="310"/>
      <c r="F26" s="310"/>
      <c r="G26" s="310"/>
      <c r="H26" s="310"/>
      <c r="I26" s="310"/>
      <c r="J26" s="310"/>
      <c r="K26" s="310"/>
      <c r="L26" s="310"/>
      <c r="M26" s="310"/>
      <c r="N26" s="310"/>
      <c r="O26" s="310"/>
    </row>
    <row r="27" spans="1:15" ht="18" customHeight="1" thickBot="1">
      <c r="A27" s="310"/>
      <c r="B27" s="378" t="s">
        <v>352</v>
      </c>
      <c r="C27" s="379" t="s">
        <v>353</v>
      </c>
      <c r="D27" s="310"/>
      <c r="E27" s="310"/>
      <c r="F27" s="310"/>
      <c r="G27" s="310"/>
      <c r="H27" s="310"/>
      <c r="I27" s="310"/>
      <c r="J27" s="310"/>
      <c r="K27" s="310"/>
      <c r="L27" s="310"/>
      <c r="M27" s="310"/>
      <c r="N27" s="310"/>
      <c r="O27" s="310"/>
    </row>
    <row r="28" spans="1:15" ht="15">
      <c r="A28" s="310"/>
      <c r="B28" s="310"/>
      <c r="C28" s="310"/>
      <c r="D28" s="310"/>
      <c r="E28" s="310"/>
      <c r="F28" s="310"/>
      <c r="G28" s="310"/>
      <c r="H28" s="310"/>
      <c r="I28" s="310"/>
      <c r="J28" s="310"/>
      <c r="K28" s="310"/>
      <c r="L28" s="310"/>
      <c r="M28" s="310"/>
      <c r="N28" s="310"/>
      <c r="O28" s="310"/>
    </row>
    <row r="29" spans="1:15" ht="15">
      <c r="A29" s="310"/>
      <c r="B29" s="310"/>
      <c r="C29" s="310"/>
      <c r="D29" s="310"/>
      <c r="E29" s="310"/>
      <c r="F29" s="310"/>
      <c r="G29" s="310"/>
      <c r="H29" s="310"/>
      <c r="I29" s="310"/>
      <c r="J29" s="310"/>
      <c r="K29" s="310"/>
      <c r="L29" s="310"/>
      <c r="M29" s="310"/>
      <c r="N29" s="310"/>
      <c r="O29" s="310"/>
    </row>
    <row r="30" spans="1:15" ht="15">
      <c r="A30" s="310"/>
      <c r="B30" s="310"/>
      <c r="C30" s="310"/>
      <c r="D30" s="310"/>
      <c r="E30" s="310"/>
      <c r="F30" s="310"/>
      <c r="G30" s="310"/>
      <c r="H30" s="310"/>
      <c r="I30" s="310"/>
      <c r="J30" s="310"/>
      <c r="K30" s="310"/>
      <c r="L30" s="310"/>
      <c r="M30" s="310"/>
      <c r="N30" s="310"/>
      <c r="O30" s="310"/>
    </row>
    <row r="31" spans="1:15" ht="15">
      <c r="A31" s="310"/>
      <c r="B31" s="310"/>
      <c r="C31" s="310"/>
      <c r="D31" s="310"/>
      <c r="E31" s="310"/>
      <c r="F31" s="310"/>
      <c r="G31" s="310"/>
      <c r="H31" s="310"/>
      <c r="I31" s="310"/>
      <c r="J31" s="310"/>
      <c r="K31" s="310"/>
      <c r="L31" s="310"/>
      <c r="M31" s="310"/>
      <c r="N31" s="310"/>
      <c r="O31" s="310"/>
    </row>
    <row r="32" spans="1:15" ht="15">
      <c r="A32" s="310"/>
      <c r="B32" s="310"/>
      <c r="C32" s="310"/>
      <c r="D32" s="310"/>
      <c r="E32" s="310"/>
      <c r="F32" s="310"/>
      <c r="G32" s="310"/>
      <c r="H32" s="310"/>
      <c r="I32" s="310"/>
      <c r="J32" s="310"/>
      <c r="K32" s="310"/>
      <c r="L32" s="310"/>
      <c r="M32" s="310"/>
      <c r="N32" s="310"/>
      <c r="O32" s="310"/>
    </row>
    <row r="33" spans="1:15" ht="15">
      <c r="A33" s="310"/>
      <c r="B33" s="310"/>
      <c r="C33" s="310"/>
      <c r="D33" s="310"/>
      <c r="E33" s="310"/>
      <c r="F33" s="310"/>
      <c r="G33" s="310"/>
      <c r="H33" s="310"/>
      <c r="I33" s="310"/>
      <c r="J33" s="310"/>
      <c r="K33" s="310"/>
      <c r="L33" s="310"/>
      <c r="M33" s="310"/>
      <c r="N33" s="310"/>
      <c r="O33" s="310"/>
    </row>
    <row r="34" spans="1:15" ht="15">
      <c r="A34" s="310"/>
      <c r="B34" s="310"/>
      <c r="C34" s="310"/>
      <c r="D34" s="310"/>
      <c r="E34" s="310"/>
      <c r="F34" s="310"/>
      <c r="G34" s="310"/>
      <c r="H34" s="310"/>
      <c r="I34" s="310"/>
      <c r="J34" s="310"/>
      <c r="K34" s="310"/>
      <c r="L34" s="310"/>
      <c r="M34" s="310"/>
      <c r="N34" s="310"/>
      <c r="O34" s="310"/>
    </row>
    <row r="35" spans="1:15" ht="15">
      <c r="A35" s="310"/>
      <c r="B35" s="310"/>
      <c r="C35" s="310"/>
      <c r="D35" s="310"/>
      <c r="E35" s="310"/>
      <c r="F35" s="310"/>
      <c r="G35" s="310"/>
      <c r="H35" s="310"/>
      <c r="I35" s="310"/>
      <c r="J35" s="310"/>
      <c r="K35" s="310"/>
      <c r="L35" s="310"/>
      <c r="M35" s="310"/>
      <c r="N35" s="310"/>
      <c r="O35" s="310"/>
    </row>
    <row r="36" spans="1:15" ht="15">
      <c r="A36" s="310"/>
      <c r="B36" s="310"/>
      <c r="C36" s="310"/>
      <c r="D36" s="310"/>
      <c r="E36" s="310"/>
      <c r="F36" s="310"/>
      <c r="G36" s="310"/>
      <c r="H36" s="310"/>
      <c r="I36" s="310"/>
      <c r="J36" s="310"/>
      <c r="K36" s="310"/>
      <c r="L36" s="310"/>
      <c r="M36" s="310"/>
      <c r="N36" s="310"/>
      <c r="O36" s="310"/>
    </row>
    <row r="37" spans="1:15" ht="15">
      <c r="A37" s="310"/>
      <c r="B37" s="310"/>
      <c r="C37" s="310"/>
      <c r="D37" s="310"/>
      <c r="E37" s="310"/>
      <c r="F37" s="310"/>
      <c r="G37" s="310"/>
      <c r="H37" s="310"/>
      <c r="I37" s="310"/>
      <c r="J37" s="310"/>
      <c r="K37" s="310"/>
      <c r="L37" s="310"/>
      <c r="M37" s="310"/>
      <c r="N37" s="310"/>
      <c r="O37" s="310"/>
    </row>
    <row r="38" spans="1:15" ht="15">
      <c r="A38" s="310"/>
      <c r="B38" s="310"/>
      <c r="C38" s="310"/>
      <c r="D38" s="310"/>
      <c r="E38" s="310"/>
      <c r="F38" s="310"/>
      <c r="G38" s="310"/>
      <c r="H38" s="310"/>
      <c r="I38" s="310"/>
      <c r="J38" s="310"/>
      <c r="K38" s="310"/>
      <c r="L38" s="310"/>
      <c r="M38" s="310"/>
      <c r="N38" s="310"/>
      <c r="O38" s="310"/>
    </row>
    <row r="39" spans="1:15" ht="15">
      <c r="A39" s="310"/>
      <c r="B39" s="310"/>
      <c r="C39" s="310"/>
      <c r="D39" s="310"/>
      <c r="E39" s="310"/>
      <c r="F39" s="310"/>
      <c r="G39" s="310"/>
      <c r="H39" s="310"/>
      <c r="I39" s="310"/>
      <c r="J39" s="310"/>
      <c r="K39" s="310"/>
      <c r="L39" s="310"/>
      <c r="M39" s="310"/>
      <c r="N39" s="310"/>
      <c r="O39" s="310"/>
    </row>
    <row r="40" spans="1:15" ht="15">
      <c r="A40" s="310"/>
      <c r="B40" s="310"/>
      <c r="C40" s="310"/>
      <c r="D40" s="310"/>
      <c r="E40" s="310"/>
      <c r="F40" s="310"/>
      <c r="G40" s="310"/>
      <c r="H40" s="310"/>
      <c r="I40" s="310"/>
      <c r="J40" s="310"/>
      <c r="K40" s="310"/>
      <c r="L40" s="310"/>
      <c r="M40" s="310"/>
      <c r="N40" s="310"/>
      <c r="O40" s="310"/>
    </row>
    <row r="41" spans="1:15" ht="15">
      <c r="A41" s="310"/>
      <c r="B41" s="310"/>
      <c r="C41" s="310"/>
      <c r="D41" s="310"/>
      <c r="E41" s="310"/>
      <c r="F41" s="310"/>
      <c r="G41" s="310"/>
      <c r="H41" s="310"/>
      <c r="I41" s="310"/>
      <c r="J41" s="310"/>
      <c r="K41" s="310"/>
      <c r="L41" s="310"/>
      <c r="M41" s="310"/>
      <c r="N41" s="310"/>
      <c r="O41" s="310"/>
    </row>
    <row r="42" spans="1:15" ht="15">
      <c r="A42" s="310"/>
      <c r="B42" s="310"/>
      <c r="C42" s="310"/>
      <c r="D42" s="310"/>
      <c r="E42" s="310"/>
      <c r="F42" s="310"/>
      <c r="G42" s="310"/>
      <c r="H42" s="310"/>
      <c r="I42" s="310"/>
      <c r="J42" s="310"/>
      <c r="K42" s="310"/>
      <c r="L42" s="310"/>
      <c r="M42" s="310"/>
      <c r="N42" s="310"/>
      <c r="O42" s="310"/>
    </row>
    <row r="43" spans="1:15" ht="15">
      <c r="A43" s="310"/>
      <c r="B43" s="310"/>
      <c r="C43" s="310"/>
      <c r="D43" s="310"/>
      <c r="E43" s="310"/>
      <c r="F43" s="310"/>
      <c r="G43" s="310"/>
      <c r="H43" s="310"/>
      <c r="I43" s="310"/>
      <c r="J43" s="310"/>
      <c r="K43" s="310"/>
      <c r="L43" s="310"/>
      <c r="M43" s="310"/>
      <c r="N43" s="310"/>
      <c r="O43" s="310"/>
    </row>
    <row r="44" spans="1:15" ht="15">
      <c r="A44" s="310"/>
      <c r="B44" s="310"/>
      <c r="C44" s="310"/>
      <c r="D44" s="310"/>
      <c r="E44" s="310"/>
      <c r="F44" s="310"/>
      <c r="G44" s="310"/>
      <c r="H44" s="310"/>
      <c r="I44" s="310"/>
      <c r="J44" s="310"/>
      <c r="K44" s="310"/>
      <c r="L44" s="310"/>
      <c r="M44" s="310"/>
      <c r="N44" s="310"/>
      <c r="O44" s="310"/>
    </row>
    <row r="45" spans="1:15" ht="15">
      <c r="A45" s="310"/>
      <c r="B45" s="310"/>
      <c r="C45" s="310"/>
      <c r="D45" s="310"/>
      <c r="E45" s="310"/>
      <c r="F45" s="310"/>
      <c r="G45" s="310"/>
      <c r="H45" s="310"/>
      <c r="I45" s="310"/>
      <c r="J45" s="310"/>
      <c r="K45" s="310"/>
      <c r="L45" s="310"/>
      <c r="M45" s="310"/>
      <c r="N45" s="310"/>
      <c r="O45" s="310"/>
    </row>
    <row r="46" spans="1:15" ht="15">
      <c r="A46" s="310"/>
      <c r="B46" s="310"/>
      <c r="C46" s="310"/>
      <c r="D46" s="310"/>
      <c r="E46" s="310"/>
      <c r="F46" s="310"/>
      <c r="G46" s="310"/>
      <c r="H46" s="310"/>
      <c r="I46" s="310"/>
      <c r="J46" s="310"/>
      <c r="K46" s="310"/>
      <c r="L46" s="310"/>
      <c r="M46" s="310"/>
      <c r="N46" s="310"/>
      <c r="O46" s="310"/>
    </row>
    <row r="47" spans="1:15" ht="15">
      <c r="A47" s="310"/>
      <c r="B47" s="310"/>
      <c r="C47" s="310"/>
      <c r="D47" s="310"/>
      <c r="E47" s="310"/>
      <c r="F47" s="310"/>
      <c r="G47" s="310"/>
      <c r="H47" s="310"/>
      <c r="I47" s="310"/>
      <c r="J47" s="310"/>
      <c r="K47" s="310"/>
      <c r="L47" s="310"/>
      <c r="M47" s="310"/>
      <c r="N47" s="310"/>
      <c r="O47" s="310"/>
    </row>
  </sheetData>
  <sheetProtection selectLockedCells="1"/>
  <mergeCells count="1">
    <mergeCell ref="B2:C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4"/>
  </sheetPr>
  <dimension ref="B1:AF96"/>
  <sheetViews>
    <sheetView showGridLines="0" zoomScaleSheetLayoutView="100" zoomScalePageLayoutView="0" workbookViewId="0" topLeftCell="A1">
      <selection activeCell="E28" sqref="E28"/>
    </sheetView>
  </sheetViews>
  <sheetFormatPr defaultColWidth="9.00390625" defaultRowHeight="15"/>
  <cols>
    <col min="1" max="1" width="4.7109375" style="56" customWidth="1"/>
    <col min="2" max="2" width="70.7109375" style="69" customWidth="1"/>
    <col min="3" max="3" width="74.57421875" style="71" customWidth="1"/>
    <col min="4" max="4" width="11.7109375" style="56" bestFit="1" customWidth="1"/>
    <col min="5" max="5" width="9.00390625" style="56" bestFit="1" customWidth="1"/>
    <col min="6" max="7" width="12.8515625" style="56" customWidth="1"/>
    <col min="8" max="8" width="9.00390625" style="56" customWidth="1"/>
    <col min="9" max="9" width="20.57421875" style="56" customWidth="1"/>
    <col min="10" max="12" width="9.00390625" style="56" customWidth="1"/>
    <col min="13" max="13" width="9.00390625" style="57" customWidth="1"/>
    <col min="14" max="31" width="9.00390625" style="56" customWidth="1"/>
    <col min="32" max="32" width="9.00390625" style="57" customWidth="1"/>
    <col min="33" max="16384" width="9.00390625" style="56" customWidth="1"/>
  </cols>
  <sheetData>
    <row r="1" spans="2:3" ht="32.25" customHeight="1" thickBot="1" thickTop="1">
      <c r="B1" s="389" t="s">
        <v>476</v>
      </c>
      <c r="C1" s="390"/>
    </row>
    <row r="2" spans="2:3" ht="135" customHeight="1" thickBot="1" thickTop="1">
      <c r="B2" s="366" t="s">
        <v>161</v>
      </c>
      <c r="C2" s="367"/>
    </row>
    <row r="3" ht="13.5" customHeight="1" thickBot="1" thickTop="1"/>
    <row r="4" spans="2:3" ht="21.75" customHeight="1" thickTop="1">
      <c r="B4" s="160" t="s">
        <v>50</v>
      </c>
      <c r="C4" s="161" t="s">
        <v>49</v>
      </c>
    </row>
    <row r="5" spans="2:3" ht="31.5" customHeight="1">
      <c r="B5" s="158" t="s">
        <v>13</v>
      </c>
      <c r="C5" s="159" t="s">
        <v>259</v>
      </c>
    </row>
    <row r="6" spans="2:32" s="58" customFormat="1" ht="28.5">
      <c r="B6" s="153" t="s">
        <v>14</v>
      </c>
      <c r="C6" s="154" t="s">
        <v>12</v>
      </c>
      <c r="D6" s="269"/>
      <c r="M6" s="59"/>
      <c r="AF6" s="59"/>
    </row>
    <row r="7" spans="2:6" ht="42.75">
      <c r="B7" s="155" t="s">
        <v>15</v>
      </c>
      <c r="C7" s="358" t="s">
        <v>466</v>
      </c>
      <c r="F7" s="60"/>
    </row>
    <row r="8" spans="2:6" ht="28.5">
      <c r="B8" s="155" t="s">
        <v>16</v>
      </c>
      <c r="C8" s="156" t="s">
        <v>130</v>
      </c>
      <c r="F8" s="60"/>
    </row>
    <row r="9" spans="2:3" ht="57.75" customHeight="1">
      <c r="B9" s="155" t="s">
        <v>17</v>
      </c>
      <c r="C9" s="328" t="s">
        <v>29</v>
      </c>
    </row>
    <row r="10" spans="2:3" ht="85.5">
      <c r="B10" s="174" t="s">
        <v>477</v>
      </c>
      <c r="C10" s="328" t="s">
        <v>467</v>
      </c>
    </row>
    <row r="11" spans="2:3" ht="42.75">
      <c r="B11" s="270" t="s">
        <v>229</v>
      </c>
      <c r="C11" s="359" t="s">
        <v>258</v>
      </c>
    </row>
    <row r="12" spans="2:3" ht="71.25">
      <c r="B12" s="351" t="s">
        <v>288</v>
      </c>
      <c r="C12" s="353" t="s">
        <v>289</v>
      </c>
    </row>
    <row r="13" spans="2:3" ht="15" thickBot="1">
      <c r="B13" s="360" t="s">
        <v>485</v>
      </c>
      <c r="C13" s="361" t="s">
        <v>486</v>
      </c>
    </row>
    <row r="14" spans="2:32" s="61" customFormat="1" ht="21.75" customHeight="1" thickBot="1" thickTop="1">
      <c r="B14" s="352" t="s">
        <v>18</v>
      </c>
      <c r="C14" s="173"/>
      <c r="M14" s="62"/>
      <c r="AF14" s="62"/>
    </row>
    <row r="15" spans="2:32" s="61" customFormat="1" ht="21.75" customHeight="1" thickTop="1">
      <c r="B15" s="370" t="s">
        <v>21</v>
      </c>
      <c r="C15" s="371"/>
      <c r="M15" s="62"/>
      <c r="AF15" s="62"/>
    </row>
    <row r="16" spans="2:3" ht="13.5" customHeight="1">
      <c r="B16" s="155" t="s">
        <v>22</v>
      </c>
      <c r="C16" s="162" t="s">
        <v>137</v>
      </c>
    </row>
    <row r="17" spans="2:3" ht="13.5" customHeight="1">
      <c r="B17" s="155" t="s">
        <v>23</v>
      </c>
      <c r="C17" s="162" t="s">
        <v>200</v>
      </c>
    </row>
    <row r="18" spans="2:3" ht="45">
      <c r="B18" s="155" t="s">
        <v>109</v>
      </c>
      <c r="C18" s="163" t="s">
        <v>478</v>
      </c>
    </row>
    <row r="19" spans="2:3" ht="13.5" customHeight="1">
      <c r="B19" s="155" t="s">
        <v>24</v>
      </c>
      <c r="C19" s="162" t="s">
        <v>138</v>
      </c>
    </row>
    <row r="20" spans="2:3" s="57" customFormat="1" ht="14.25">
      <c r="B20" s="174" t="s">
        <v>201</v>
      </c>
      <c r="C20" s="175" t="s">
        <v>139</v>
      </c>
    </row>
    <row r="21" spans="2:3" ht="21.75" customHeight="1">
      <c r="B21" s="372" t="s">
        <v>389</v>
      </c>
      <c r="C21" s="373"/>
    </row>
    <row r="22" spans="2:3" ht="18.75" customHeight="1">
      <c r="B22" s="364" t="s">
        <v>202</v>
      </c>
      <c r="C22" s="365"/>
    </row>
    <row r="23" spans="2:3" ht="15" customHeight="1">
      <c r="B23" s="155" t="s">
        <v>34</v>
      </c>
      <c r="C23" s="386" t="s">
        <v>468</v>
      </c>
    </row>
    <row r="24" spans="2:3" ht="15" customHeight="1">
      <c r="B24" s="164" t="s">
        <v>35</v>
      </c>
      <c r="C24" s="387"/>
    </row>
    <row r="25" spans="2:3" ht="15" customHeight="1">
      <c r="B25" s="164" t="s">
        <v>36</v>
      </c>
      <c r="C25" s="387"/>
    </row>
    <row r="26" spans="2:3" ht="15" customHeight="1">
      <c r="B26" s="164" t="s">
        <v>37</v>
      </c>
      <c r="C26" s="387"/>
    </row>
    <row r="27" spans="2:3" ht="15" customHeight="1">
      <c r="B27" s="164" t="s">
        <v>38</v>
      </c>
      <c r="C27" s="387"/>
    </row>
    <row r="28" spans="2:3" ht="15" customHeight="1">
      <c r="B28" s="164" t="s">
        <v>39</v>
      </c>
      <c r="C28" s="387"/>
    </row>
    <row r="29" spans="2:3" ht="15" customHeight="1">
      <c r="B29" s="164" t="s">
        <v>40</v>
      </c>
      <c r="C29" s="387"/>
    </row>
    <row r="30" spans="2:3" ht="15" customHeight="1">
      <c r="B30" s="164" t="s">
        <v>41</v>
      </c>
      <c r="C30" s="387"/>
    </row>
    <row r="31" spans="2:3" ht="15" customHeight="1">
      <c r="B31" s="164" t="s">
        <v>42</v>
      </c>
      <c r="C31" s="387"/>
    </row>
    <row r="32" spans="2:3" ht="15" customHeight="1">
      <c r="B32" s="164" t="s">
        <v>43</v>
      </c>
      <c r="C32" s="388"/>
    </row>
    <row r="33" spans="2:3" ht="21.75" customHeight="1">
      <c r="B33" s="384" t="s">
        <v>260</v>
      </c>
      <c r="C33" s="385"/>
    </row>
    <row r="34" spans="2:3" ht="21" customHeight="1">
      <c r="B34" s="164" t="s">
        <v>390</v>
      </c>
      <c r="C34" s="368" t="s">
        <v>479</v>
      </c>
    </row>
    <row r="35" spans="2:3" ht="21" customHeight="1">
      <c r="B35" s="164" t="s">
        <v>28</v>
      </c>
      <c r="C35" s="369"/>
    </row>
    <row r="36" spans="2:3" ht="21.75" customHeight="1">
      <c r="B36" s="382" t="s">
        <v>199</v>
      </c>
      <c r="C36" s="383"/>
    </row>
    <row r="37" spans="2:3" ht="30.75" customHeight="1">
      <c r="B37" s="155" t="s">
        <v>261</v>
      </c>
      <c r="C37" s="163" t="s">
        <v>223</v>
      </c>
    </row>
    <row r="38" spans="2:3" ht="30.75" customHeight="1">
      <c r="B38" s="270" t="s">
        <v>273</v>
      </c>
      <c r="C38" s="271" t="s">
        <v>274</v>
      </c>
    </row>
    <row r="39" spans="2:4" s="57" customFormat="1" ht="21.75" customHeight="1">
      <c r="B39" s="165" t="s">
        <v>391</v>
      </c>
      <c r="C39" s="166"/>
      <c r="D39" s="65"/>
    </row>
    <row r="40" spans="2:4" s="57" customFormat="1" ht="13.5" customHeight="1">
      <c r="B40" s="155" t="s">
        <v>222</v>
      </c>
      <c r="C40" s="167" t="s">
        <v>55</v>
      </c>
      <c r="D40" s="65"/>
    </row>
    <row r="41" spans="2:4" s="57" customFormat="1" ht="13.5" customHeight="1">
      <c r="B41" s="155" t="s">
        <v>143</v>
      </c>
      <c r="C41" s="167" t="s">
        <v>125</v>
      </c>
      <c r="D41" s="65"/>
    </row>
    <row r="42" spans="2:4" s="57" customFormat="1" ht="13.5" customHeight="1">
      <c r="B42" s="155" t="s">
        <v>54</v>
      </c>
      <c r="C42" s="168" t="s">
        <v>126</v>
      </c>
      <c r="D42" s="65"/>
    </row>
    <row r="43" spans="2:4" s="57" customFormat="1" ht="13.5" customHeight="1">
      <c r="B43" s="155" t="s">
        <v>392</v>
      </c>
      <c r="C43" s="167" t="s">
        <v>262</v>
      </c>
      <c r="D43" s="65"/>
    </row>
    <row r="44" spans="2:4" s="57" customFormat="1" ht="21.75" customHeight="1">
      <c r="B44" s="169" t="s">
        <v>300</v>
      </c>
      <c r="C44" s="170"/>
      <c r="D44" s="65"/>
    </row>
    <row r="45" spans="2:4" s="57" customFormat="1" ht="14.25" customHeight="1">
      <c r="B45" s="270" t="s">
        <v>151</v>
      </c>
      <c r="C45" s="362" t="s">
        <v>487</v>
      </c>
      <c r="D45" s="65"/>
    </row>
    <row r="46" spans="2:4" s="57" customFormat="1" ht="28.5">
      <c r="B46" s="270" t="s">
        <v>488</v>
      </c>
      <c r="C46" s="271" t="s">
        <v>490</v>
      </c>
      <c r="D46" s="65"/>
    </row>
    <row r="47" spans="2:4" s="57" customFormat="1" ht="28.5">
      <c r="B47" s="270" t="s">
        <v>489</v>
      </c>
      <c r="C47" s="271" t="s">
        <v>491</v>
      </c>
      <c r="D47" s="65"/>
    </row>
    <row r="48" spans="2:3" s="57" customFormat="1" ht="45">
      <c r="B48" s="155" t="s">
        <v>203</v>
      </c>
      <c r="C48" s="327" t="s">
        <v>127</v>
      </c>
    </row>
    <row r="49" spans="2:3" ht="13.5" customHeight="1">
      <c r="B49" s="155" t="s">
        <v>147</v>
      </c>
      <c r="C49" s="162" t="s">
        <v>128</v>
      </c>
    </row>
    <row r="50" spans="2:3" ht="13.5" customHeight="1">
      <c r="B50" s="155" t="s">
        <v>148</v>
      </c>
      <c r="C50" s="162" t="s">
        <v>129</v>
      </c>
    </row>
    <row r="51" spans="2:3" s="57" customFormat="1" ht="28.5" customHeight="1">
      <c r="B51" s="155" t="s">
        <v>175</v>
      </c>
      <c r="C51" s="163" t="s">
        <v>131</v>
      </c>
    </row>
    <row r="52" spans="2:3" ht="43.5" customHeight="1">
      <c r="B52" s="155" t="s">
        <v>157</v>
      </c>
      <c r="C52" s="163" t="s">
        <v>132</v>
      </c>
    </row>
    <row r="53" spans="2:32" s="61" customFormat="1" ht="36.75" customHeight="1" thickBot="1">
      <c r="B53" s="171" t="s">
        <v>58</v>
      </c>
      <c r="C53" s="272" t="s">
        <v>11</v>
      </c>
      <c r="M53" s="62"/>
      <c r="AF53" s="62"/>
    </row>
    <row r="54" spans="2:3" ht="21" customHeight="1" thickBot="1" thickTop="1">
      <c r="B54" s="176" t="s">
        <v>62</v>
      </c>
      <c r="C54" s="177"/>
    </row>
    <row r="55" spans="2:3" ht="30" customHeight="1" thickTop="1">
      <c r="B55" s="179" t="s">
        <v>63</v>
      </c>
      <c r="C55" s="180" t="s">
        <v>383</v>
      </c>
    </row>
    <row r="56" spans="2:3" ht="57">
      <c r="B56" s="155" t="s">
        <v>64</v>
      </c>
      <c r="C56" s="271" t="s">
        <v>365</v>
      </c>
    </row>
    <row r="57" spans="2:3" ht="71.25">
      <c r="B57" s="270" t="s">
        <v>263</v>
      </c>
      <c r="C57" s="315" t="s">
        <v>366</v>
      </c>
    </row>
    <row r="58" spans="2:3" ht="13.5" customHeight="1">
      <c r="B58" s="270" t="s">
        <v>159</v>
      </c>
      <c r="C58" s="285" t="s">
        <v>133</v>
      </c>
    </row>
    <row r="59" spans="2:3" ht="14.25">
      <c r="B59" s="270" t="s">
        <v>204</v>
      </c>
      <c r="C59" s="271" t="s">
        <v>134</v>
      </c>
    </row>
    <row r="60" spans="2:3" ht="28.5">
      <c r="B60" s="270" t="s">
        <v>166</v>
      </c>
      <c r="C60" s="271" t="s">
        <v>135</v>
      </c>
    </row>
    <row r="61" spans="2:3" ht="14.25">
      <c r="B61" s="155" t="s">
        <v>205</v>
      </c>
      <c r="C61" s="181" t="s">
        <v>136</v>
      </c>
    </row>
    <row r="62" spans="2:3" ht="21" customHeight="1">
      <c r="B62" s="196" t="s">
        <v>384</v>
      </c>
      <c r="C62" s="184"/>
    </row>
    <row r="63" spans="2:3" ht="21.75" customHeight="1">
      <c r="B63" s="185" t="s">
        <v>170</v>
      </c>
      <c r="C63" s="186"/>
    </row>
    <row r="64" spans="2:3" ht="13.5" customHeight="1">
      <c r="B64" s="155" t="s">
        <v>44</v>
      </c>
      <c r="C64" s="386" t="s">
        <v>469</v>
      </c>
    </row>
    <row r="65" spans="2:3" ht="13.5" customHeight="1">
      <c r="B65" s="164" t="s">
        <v>38</v>
      </c>
      <c r="C65" s="387"/>
    </row>
    <row r="66" spans="2:3" ht="13.5" customHeight="1">
      <c r="B66" s="164" t="s">
        <v>45</v>
      </c>
      <c r="C66" s="387"/>
    </row>
    <row r="67" spans="2:3" ht="13.5" customHeight="1">
      <c r="B67" s="164" t="s">
        <v>37</v>
      </c>
      <c r="C67" s="387"/>
    </row>
    <row r="68" spans="2:3" ht="13.5" customHeight="1">
      <c r="B68" s="164" t="s">
        <v>46</v>
      </c>
      <c r="C68" s="387"/>
    </row>
    <row r="69" spans="2:3" ht="13.5" customHeight="1">
      <c r="B69" s="164" t="s">
        <v>47</v>
      </c>
      <c r="C69" s="387"/>
    </row>
    <row r="70" spans="2:3" ht="13.5" customHeight="1">
      <c r="B70" s="164" t="s">
        <v>48</v>
      </c>
      <c r="C70" s="388"/>
    </row>
    <row r="71" spans="2:3" ht="13.5" customHeight="1">
      <c r="B71" s="187"/>
      <c r="C71" s="186"/>
    </row>
    <row r="72" spans="2:3" ht="13.5" customHeight="1">
      <c r="B72" s="384" t="s">
        <v>264</v>
      </c>
      <c r="C72" s="385"/>
    </row>
    <row r="73" spans="2:3" ht="22.5" customHeight="1">
      <c r="B73" s="164" t="s">
        <v>390</v>
      </c>
      <c r="C73" s="283" t="s">
        <v>408</v>
      </c>
    </row>
    <row r="74" spans="2:3" ht="27.75" customHeight="1">
      <c r="B74" s="164" t="s">
        <v>28</v>
      </c>
      <c r="C74" s="284" t="s">
        <v>118</v>
      </c>
    </row>
    <row r="75" spans="2:3" s="57" customFormat="1" ht="13.5" customHeight="1">
      <c r="B75" s="182"/>
      <c r="C75" s="183"/>
    </row>
    <row r="76" spans="2:3" s="57" customFormat="1" ht="13.5" customHeight="1">
      <c r="B76" s="188" t="s">
        <v>265</v>
      </c>
      <c r="C76" s="166"/>
    </row>
    <row r="77" spans="2:3" s="65" customFormat="1" ht="9" customHeight="1">
      <c r="B77" s="189"/>
      <c r="C77" s="190"/>
    </row>
    <row r="78" spans="2:3" s="57" customFormat="1" ht="13.5" customHeight="1">
      <c r="B78" s="288" t="s">
        <v>96</v>
      </c>
      <c r="C78" s="289" t="s">
        <v>97</v>
      </c>
    </row>
    <row r="79" spans="2:3" s="57" customFormat="1" ht="42.75">
      <c r="B79" s="164" t="s">
        <v>385</v>
      </c>
      <c r="C79" s="290"/>
    </row>
    <row r="80" spans="2:3" s="57" customFormat="1" ht="9.75" customHeight="1">
      <c r="B80" s="191"/>
      <c r="C80" s="192"/>
    </row>
    <row r="81" spans="2:3" s="57" customFormat="1" ht="13.5" customHeight="1">
      <c r="B81" s="191" t="s">
        <v>386</v>
      </c>
      <c r="C81" s="289" t="s">
        <v>98</v>
      </c>
    </row>
    <row r="82" spans="2:3" s="57" customFormat="1" ht="57">
      <c r="B82" s="164" t="s">
        <v>387</v>
      </c>
      <c r="C82" s="291"/>
    </row>
    <row r="83" spans="2:3" s="57" customFormat="1" ht="13.5" customHeight="1">
      <c r="B83" s="191"/>
      <c r="C83" s="192"/>
    </row>
    <row r="84" spans="2:3" s="57" customFormat="1" ht="13.5" customHeight="1">
      <c r="B84" s="282" t="s">
        <v>278</v>
      </c>
      <c r="C84" s="166"/>
    </row>
    <row r="85" spans="2:3" s="57" customFormat="1" ht="30.75">
      <c r="B85" s="270" t="s">
        <v>104</v>
      </c>
      <c r="C85" s="163" t="s">
        <v>140</v>
      </c>
    </row>
    <row r="86" spans="2:3" s="57" customFormat="1" ht="42" customHeight="1">
      <c r="B86" s="270" t="s">
        <v>141</v>
      </c>
      <c r="C86" s="163" t="s">
        <v>123</v>
      </c>
    </row>
    <row r="87" spans="2:3" s="62" customFormat="1" ht="18" customHeight="1">
      <c r="B87" s="193" t="s">
        <v>65</v>
      </c>
      <c r="C87" s="194" t="s">
        <v>66</v>
      </c>
    </row>
    <row r="88" spans="2:3" s="57" customFormat="1" ht="30.75">
      <c r="B88" s="155" t="s">
        <v>184</v>
      </c>
      <c r="C88" s="163" t="s">
        <v>185</v>
      </c>
    </row>
    <row r="89" spans="2:3" s="57" customFormat="1" ht="6" customHeight="1">
      <c r="B89" s="182"/>
      <c r="C89" s="183"/>
    </row>
    <row r="90" spans="2:3" s="57" customFormat="1" ht="13.5" customHeight="1">
      <c r="B90" s="195" t="s">
        <v>59</v>
      </c>
      <c r="C90" s="170"/>
    </row>
    <row r="91" spans="2:3" s="57" customFormat="1" ht="29.25" customHeight="1">
      <c r="B91" s="155" t="s">
        <v>60</v>
      </c>
      <c r="C91" s="163" t="s">
        <v>61</v>
      </c>
    </row>
    <row r="92" spans="2:3" s="57" customFormat="1" ht="43.5" thickBot="1">
      <c r="B92" s="157" t="s">
        <v>124</v>
      </c>
      <c r="C92" s="363" t="s">
        <v>470</v>
      </c>
    </row>
    <row r="93" spans="2:3" ht="15" thickTop="1">
      <c r="B93" s="178"/>
      <c r="C93" s="60"/>
    </row>
    <row r="94" ht="14.25">
      <c r="C94" s="70"/>
    </row>
    <row r="95" spans="3:5" ht="14.25">
      <c r="C95" s="70"/>
      <c r="D95" s="71"/>
      <c r="E95" s="71"/>
    </row>
    <row r="96" ht="14.25">
      <c r="B96" s="201"/>
    </row>
  </sheetData>
  <sheetProtection selectLockedCells="1"/>
  <mergeCells count="10">
    <mergeCell ref="B36:C36"/>
    <mergeCell ref="B72:C72"/>
    <mergeCell ref="C64:C70"/>
    <mergeCell ref="B1:C1"/>
    <mergeCell ref="B2:C2"/>
    <mergeCell ref="C23:C32"/>
    <mergeCell ref="C34:C35"/>
    <mergeCell ref="B15:C15"/>
    <mergeCell ref="B21:C21"/>
    <mergeCell ref="B33:C33"/>
  </mergeCells>
  <dataValidations count="2">
    <dataValidation type="list" allowBlank="1" showInputMessage="1" showErrorMessage="1" sqref="C82">
      <formula1>"1, 2, 3"</formula1>
    </dataValidation>
    <dataValidation type="list" allowBlank="1" showInputMessage="1" showErrorMessage="1" sqref="C79">
      <formula1>"1, 2"</formula1>
    </dataValidation>
  </dataValidations>
  <printOptions/>
  <pageMargins left="0.49" right="0.44" top="0.47" bottom="0.37" header="0.32" footer="0.31496062992126"/>
  <pageSetup orientation="portrait" paperSize="9" scale="66" r:id="rId2"/>
  <drawing r:id="rId1"/>
</worksheet>
</file>

<file path=xl/worksheets/sheet3.xml><?xml version="1.0" encoding="utf-8"?>
<worksheet xmlns="http://schemas.openxmlformats.org/spreadsheetml/2006/main" xmlns:r="http://schemas.openxmlformats.org/officeDocument/2006/relationships">
  <sheetPr>
    <tabColor indexed="47"/>
  </sheetPr>
  <dimension ref="A2:AJ201"/>
  <sheetViews>
    <sheetView showGridLines="0" zoomScale="95" zoomScaleNormal="95" zoomScalePageLayoutView="0" workbookViewId="0" topLeftCell="A175">
      <selection activeCell="B205" sqref="B205"/>
    </sheetView>
  </sheetViews>
  <sheetFormatPr defaultColWidth="9.140625" defaultRowHeight="15"/>
  <cols>
    <col min="1" max="1" width="4.140625" style="1" bestFit="1" customWidth="1"/>
    <col min="2" max="2" width="69.28125" style="44" customWidth="1"/>
    <col min="3" max="7" width="14.57421875" style="144" customWidth="1"/>
    <col min="8" max="8" width="11.7109375" style="1" bestFit="1" customWidth="1"/>
    <col min="9" max="9" width="9.00390625" style="1" bestFit="1" customWidth="1"/>
    <col min="10" max="11" width="12.8515625" style="1" customWidth="1"/>
    <col min="12" max="12" width="9.140625" style="1" customWidth="1"/>
    <col min="13" max="13" width="20.57421875" style="1" customWidth="1"/>
    <col min="14" max="16" width="9.140625" style="1" customWidth="1"/>
    <col min="17" max="17" width="9.00390625" style="72" customWidth="1"/>
    <col min="18" max="35" width="9.140625" style="1" customWidth="1"/>
    <col min="36" max="36" width="9.00390625" style="72" customWidth="1"/>
    <col min="37" max="16384" width="9.140625" style="1" customWidth="1"/>
  </cols>
  <sheetData>
    <row r="1" ht="3" customHeight="1" thickBot="1"/>
    <row r="2" spans="2:7" ht="48.75" customHeight="1" thickTop="1">
      <c r="B2" s="233" t="s">
        <v>25</v>
      </c>
      <c r="C2" s="234" t="s">
        <v>244</v>
      </c>
      <c r="D2" s="234" t="s">
        <v>246</v>
      </c>
      <c r="E2" s="234" t="s">
        <v>245</v>
      </c>
      <c r="F2" s="234" t="s">
        <v>371</v>
      </c>
      <c r="G2" s="235" t="s">
        <v>247</v>
      </c>
    </row>
    <row r="3" spans="1:36" s="74" customFormat="1" ht="13.5" customHeight="1">
      <c r="A3" s="329"/>
      <c r="B3" s="202" t="s">
        <v>14</v>
      </c>
      <c r="C3" s="73">
        <v>100000</v>
      </c>
      <c r="D3" s="73">
        <v>100000</v>
      </c>
      <c r="E3" s="73">
        <v>100000</v>
      </c>
      <c r="F3" s="73">
        <v>100000</v>
      </c>
      <c r="G3" s="203">
        <v>100000</v>
      </c>
      <c r="Q3" s="75"/>
      <c r="AJ3" s="75"/>
    </row>
    <row r="4" spans="1:10" ht="13.5" customHeight="1">
      <c r="A4" s="22"/>
      <c r="B4" s="204" t="s">
        <v>444</v>
      </c>
      <c r="C4" s="77">
        <v>0.5</v>
      </c>
      <c r="D4" s="77">
        <v>0.5</v>
      </c>
      <c r="E4" s="77">
        <v>0.5</v>
      </c>
      <c r="F4" s="77">
        <v>0.5</v>
      </c>
      <c r="G4" s="205">
        <v>0.5</v>
      </c>
      <c r="J4" s="78"/>
    </row>
    <row r="5" spans="1:10" ht="13.5" customHeight="1">
      <c r="A5" s="22"/>
      <c r="B5" s="204" t="s">
        <v>445</v>
      </c>
      <c r="C5" s="79">
        <v>95</v>
      </c>
      <c r="D5" s="79">
        <v>90</v>
      </c>
      <c r="E5" s="79">
        <v>90</v>
      </c>
      <c r="F5" s="79">
        <v>90</v>
      </c>
      <c r="G5" s="206" t="s">
        <v>19</v>
      </c>
      <c r="J5" s="78"/>
    </row>
    <row r="6" spans="1:7" ht="13.5" customHeight="1">
      <c r="A6" s="329"/>
      <c r="B6" s="204" t="s">
        <v>26</v>
      </c>
      <c r="C6" s="79">
        <v>95</v>
      </c>
      <c r="D6" s="79">
        <v>85</v>
      </c>
      <c r="E6" s="79">
        <v>75</v>
      </c>
      <c r="F6" s="79">
        <v>65</v>
      </c>
      <c r="G6" s="207">
        <v>40</v>
      </c>
    </row>
    <row r="7" spans="1:7" ht="29.25" customHeight="1">
      <c r="A7" s="22"/>
      <c r="B7" s="204" t="s">
        <v>230</v>
      </c>
      <c r="C7" s="79">
        <v>95</v>
      </c>
      <c r="D7" s="79">
        <v>85</v>
      </c>
      <c r="E7" s="79">
        <v>75</v>
      </c>
      <c r="F7" s="79">
        <v>65</v>
      </c>
      <c r="G7" s="207">
        <v>40</v>
      </c>
    </row>
    <row r="8" spans="1:7" ht="29.25" customHeight="1">
      <c r="A8" s="22"/>
      <c r="B8" s="204" t="s">
        <v>229</v>
      </c>
      <c r="C8" s="79">
        <v>16</v>
      </c>
      <c r="D8" s="79">
        <v>16</v>
      </c>
      <c r="E8" s="79">
        <v>16</v>
      </c>
      <c r="F8" s="79">
        <v>16</v>
      </c>
      <c r="G8" s="207">
        <v>16</v>
      </c>
    </row>
    <row r="9" spans="1:7" ht="14.25">
      <c r="A9" s="22"/>
      <c r="B9" s="204" t="s">
        <v>358</v>
      </c>
      <c r="C9" s="108">
        <v>14</v>
      </c>
      <c r="D9" s="108">
        <v>14</v>
      </c>
      <c r="E9" s="108">
        <v>14</v>
      </c>
      <c r="F9" s="108">
        <v>14</v>
      </c>
      <c r="G9" s="344">
        <v>14</v>
      </c>
    </row>
    <row r="10" spans="1:7" s="72" customFormat="1" ht="42.75">
      <c r="A10" s="22"/>
      <c r="B10" s="208" t="s">
        <v>214</v>
      </c>
      <c r="C10" s="67">
        <f>32+(C9*1.57)</f>
        <v>53.980000000000004</v>
      </c>
      <c r="D10" s="67">
        <f>32+(D9*1.57)</f>
        <v>53.980000000000004</v>
      </c>
      <c r="E10" s="67">
        <f>32+(E9*1.57)</f>
        <v>53.980000000000004</v>
      </c>
      <c r="F10" s="67">
        <f>32+(F9*1.57)</f>
        <v>53.980000000000004</v>
      </c>
      <c r="G10" s="209">
        <f>32+(G9*1.57)</f>
        <v>53.980000000000004</v>
      </c>
    </row>
    <row r="11" spans="1:7" s="72" customFormat="1" ht="42.75">
      <c r="A11" s="329"/>
      <c r="B11" s="208" t="s">
        <v>213</v>
      </c>
      <c r="C11" s="67">
        <f>15+(C9*0.51)</f>
        <v>22.14</v>
      </c>
      <c r="D11" s="67">
        <f>15+(D9*0.51)</f>
        <v>22.14</v>
      </c>
      <c r="E11" s="67">
        <f>15+(E9*0.51)</f>
        <v>22.14</v>
      </c>
      <c r="F11" s="67">
        <f>15+(F9*0.51)</f>
        <v>22.14</v>
      </c>
      <c r="G11" s="209">
        <f>15+(G9*0.51)</f>
        <v>22.14</v>
      </c>
    </row>
    <row r="12" spans="1:7" s="72" customFormat="1" ht="42.75">
      <c r="A12" s="22"/>
      <c r="B12" s="208" t="s">
        <v>359</v>
      </c>
      <c r="C12" s="67">
        <v>2</v>
      </c>
      <c r="D12" s="67">
        <v>2</v>
      </c>
      <c r="E12" s="67">
        <v>2</v>
      </c>
      <c r="F12" s="67">
        <v>2</v>
      </c>
      <c r="G12" s="209">
        <v>2</v>
      </c>
    </row>
    <row r="13" spans="1:7" s="72" customFormat="1" ht="42.75">
      <c r="A13" s="22"/>
      <c r="B13" s="208" t="s">
        <v>228</v>
      </c>
      <c r="C13" s="67">
        <v>0.5</v>
      </c>
      <c r="D13" s="67">
        <v>0.5</v>
      </c>
      <c r="E13" s="67">
        <v>0.5</v>
      </c>
      <c r="F13" s="67">
        <v>0.5</v>
      </c>
      <c r="G13" s="209">
        <v>0.5</v>
      </c>
    </row>
    <row r="14" spans="1:7" ht="14.25">
      <c r="A14" s="22"/>
      <c r="B14" s="208" t="s">
        <v>27</v>
      </c>
      <c r="C14" s="219">
        <f>C3*C4/100</f>
        <v>500</v>
      </c>
      <c r="D14" s="219">
        <f>D3*D4/100</f>
        <v>500</v>
      </c>
      <c r="E14" s="219">
        <f>E3*E4/100</f>
        <v>500</v>
      </c>
      <c r="F14" s="219">
        <f>F3*F4/100</f>
        <v>500</v>
      </c>
      <c r="G14" s="220">
        <f>G3*G4/100</f>
        <v>500</v>
      </c>
    </row>
    <row r="15" spans="1:7" ht="28.5">
      <c r="A15" s="329"/>
      <c r="B15" s="208" t="s">
        <v>446</v>
      </c>
      <c r="C15" s="219">
        <f>C3*C4/100*C5/100*C6/100*C7/100</f>
        <v>428.6875</v>
      </c>
      <c r="D15" s="219">
        <f>D3*D4/100*D5/100*D6/100*D7/100</f>
        <v>325.125</v>
      </c>
      <c r="E15" s="219">
        <f>E3*E4/100*E5/100*E6/100*E7/100</f>
        <v>253.125</v>
      </c>
      <c r="F15" s="219">
        <f>F3*F4/100*F5/100*F6/100*F7/100</f>
        <v>190.125</v>
      </c>
      <c r="G15" s="220">
        <f>G3*G4/100*G7/100</f>
        <v>200</v>
      </c>
    </row>
    <row r="16" spans="1:36" s="83" customFormat="1" ht="42.75">
      <c r="A16" s="22"/>
      <c r="B16" s="210" t="s">
        <v>206</v>
      </c>
      <c r="C16" s="331">
        <f>(C15-(C14*C8/100))*2/100+(C14*C8/100)*0.5/100</f>
        <v>7.37375</v>
      </c>
      <c r="D16" s="331">
        <f>(D15-(D14*D8/100))*2/100+(D14*D8/100)*0.5/100</f>
        <v>5.3025</v>
      </c>
      <c r="E16" s="331">
        <f>(E15-(E14*E8/100))*2/100+(E14*E8/100)*0.5/100</f>
        <v>3.8625</v>
      </c>
      <c r="F16" s="331">
        <f>(F15-(F14*F8/100))*2/100+(F14*F8/100)*0.5/100</f>
        <v>2.6025</v>
      </c>
      <c r="G16" s="345">
        <f>(G15-(G14*G8/100))*2/100+(G14*G8/100)*0.5/100</f>
        <v>2.8</v>
      </c>
      <c r="K16" s="84"/>
      <c r="Q16" s="85"/>
      <c r="AJ16" s="85"/>
    </row>
    <row r="17" spans="1:36" s="83" customFormat="1" ht="15" customHeight="1">
      <c r="A17" s="22"/>
      <c r="B17" s="392" t="s">
        <v>207</v>
      </c>
      <c r="C17" s="332">
        <f>C3*C4/100*C5/100*C6/100*(1-C7/100)</f>
        <v>22.56250000000002</v>
      </c>
      <c r="D17" s="332">
        <f>D3*D4/100*D5/100*D6/100*(1-D7/100)</f>
        <v>57.37500000000001</v>
      </c>
      <c r="E17" s="332">
        <f>E3*E4/100*E5/100*E6/100*(1-E7/100)</f>
        <v>84.375</v>
      </c>
      <c r="F17" s="332">
        <f>F3*F4/100*F5/100*F6/100*(1-F7/100)</f>
        <v>102.375</v>
      </c>
      <c r="G17" s="346"/>
      <c r="Q17" s="85"/>
      <c r="AJ17" s="85"/>
    </row>
    <row r="18" spans="1:36" s="83" customFormat="1" ht="30.75" customHeight="1">
      <c r="A18" s="22"/>
      <c r="B18" s="393"/>
      <c r="C18" s="333">
        <f>(C17*C53/100*C10/100)+(C65*C17/100*C11/100)</f>
        <v>7.868897500000008</v>
      </c>
      <c r="D18" s="333">
        <f>(D17*D53/100*D10/100)+(D65*D17/100*D11/100)</f>
        <v>20.010105000000003</v>
      </c>
      <c r="E18" s="333">
        <f>(E17*E53/100*E10/100)+(E65*E17/100*E11/100)</f>
        <v>29.426625</v>
      </c>
      <c r="F18" s="333">
        <f>(F17*F53/100*F10/100)+(F65*F17/100*F11/100)</f>
        <v>35.704305</v>
      </c>
      <c r="G18" s="347">
        <v>0</v>
      </c>
      <c r="Q18" s="85"/>
      <c r="AJ18" s="85"/>
    </row>
    <row r="19" spans="1:36" s="83" customFormat="1" ht="14.25">
      <c r="A19" s="22"/>
      <c r="B19" s="392" t="s">
        <v>208</v>
      </c>
      <c r="C19" s="332">
        <f>C14*C5/100*(100-C6)/100</f>
        <v>23.75</v>
      </c>
      <c r="D19" s="332">
        <f>D14*D5/100*(100-D6)/100</f>
        <v>67.5</v>
      </c>
      <c r="E19" s="332">
        <f>E14*E5/100*(100-E6)/100</f>
        <v>112.5</v>
      </c>
      <c r="F19" s="332">
        <f>F14*F5/100*(100-F6)/100</f>
        <v>157.5</v>
      </c>
      <c r="G19" s="346">
        <f>G14*(1-G7/100)</f>
        <v>300</v>
      </c>
      <c r="Q19" s="85"/>
      <c r="AJ19" s="85"/>
    </row>
    <row r="20" spans="1:36" s="83" customFormat="1" ht="46.5" customHeight="1">
      <c r="A20" s="22"/>
      <c r="B20" s="393"/>
      <c r="C20" s="333">
        <f>(C19*C53/100*C10/100)+(C19*C65/100*C11/100)</f>
        <v>8.283050000000001</v>
      </c>
      <c r="D20" s="333">
        <f>(D19*D53/100*D10/100)+(D19*D65/100*D11/100)</f>
        <v>23.5413</v>
      </c>
      <c r="E20" s="333">
        <f>(E19*E53/100*E10/100)+(E19*E65/100*E11/100)</f>
        <v>39.2355</v>
      </c>
      <c r="F20" s="333">
        <f>(F19*F53/100*F10/100)+(F19*F65/100*F11/100)</f>
        <v>54.929700000000004</v>
      </c>
      <c r="G20" s="347">
        <f>(G19*G53/100*G10/100)+(G19*G65/100*G11/100)</f>
        <v>104.62800000000001</v>
      </c>
      <c r="Q20" s="85"/>
      <c r="AJ20" s="85"/>
    </row>
    <row r="21" spans="1:36" s="86" customFormat="1" ht="28.5">
      <c r="A21" s="329"/>
      <c r="B21" s="210" t="s">
        <v>367</v>
      </c>
      <c r="C21" s="334">
        <f>C16+C18+C20</f>
        <v>23.525697500000007</v>
      </c>
      <c r="D21" s="334">
        <f>D16+D18+D20</f>
        <v>48.853905000000005</v>
      </c>
      <c r="E21" s="334">
        <f>E16+E18+E20</f>
        <v>72.524625</v>
      </c>
      <c r="F21" s="334">
        <f>F16+F18+F20</f>
        <v>93.236505</v>
      </c>
      <c r="G21" s="349">
        <f>G16+G18+G20</f>
        <v>107.42800000000001</v>
      </c>
      <c r="Q21" s="87"/>
      <c r="AJ21" s="87"/>
    </row>
    <row r="22" spans="1:36" s="86" customFormat="1" ht="14.25">
      <c r="A22" s="329"/>
      <c r="B22" s="210" t="s">
        <v>360</v>
      </c>
      <c r="C22" s="330">
        <f>(C21*100/C14)</f>
        <v>4.705139500000001</v>
      </c>
      <c r="D22" s="330">
        <f>(D21*100/D14)</f>
        <v>9.770781000000001</v>
      </c>
      <c r="E22" s="330">
        <f>(E21*100/E14)</f>
        <v>14.504925</v>
      </c>
      <c r="F22" s="330">
        <f>(F21*100/F14)</f>
        <v>18.647301</v>
      </c>
      <c r="G22" s="350">
        <f>(G21*100/G14)</f>
        <v>21.4856</v>
      </c>
      <c r="Q22" s="87"/>
      <c r="AJ22" s="87"/>
    </row>
    <row r="23" spans="1:36" s="86" customFormat="1" ht="18" customHeight="1">
      <c r="A23" s="22"/>
      <c r="B23" s="210" t="s">
        <v>388</v>
      </c>
      <c r="C23" s="227">
        <f>(C14*C53/100*C10/100)+(C14*C65/100*C11/100)-C21</f>
        <v>150.8543025</v>
      </c>
      <c r="D23" s="227">
        <f>(D14*D53/100*D10/100)+(D14*D65/100*D11/100)-D21</f>
        <v>125.526095</v>
      </c>
      <c r="E23" s="227">
        <f>(E14*E53/100*E10/100)+(E14*E65/100*E11/100)-E21</f>
        <v>101.855375</v>
      </c>
      <c r="F23" s="227">
        <f>(F14*F53/100*F10/100)+(F14*F65/100*F11/100)-F21</f>
        <v>81.143495</v>
      </c>
      <c r="G23" s="348">
        <f>(G14*G53/100*G10/100)+(G14*G65/100*G11/100)-G21</f>
        <v>66.95199999999998</v>
      </c>
      <c r="Q23" s="87"/>
      <c r="AJ23" s="87"/>
    </row>
    <row r="24" spans="2:36" s="86" customFormat="1" ht="14.25">
      <c r="B24" s="339"/>
      <c r="C24" s="152"/>
      <c r="D24" s="152"/>
      <c r="E24" s="152"/>
      <c r="F24" s="152"/>
      <c r="G24" s="340"/>
      <c r="Q24" s="87"/>
      <c r="AJ24" s="87"/>
    </row>
    <row r="25" spans="2:36" s="86" customFormat="1" ht="21.75" customHeight="1">
      <c r="B25" s="236" t="s">
        <v>18</v>
      </c>
      <c r="C25" s="88"/>
      <c r="D25" s="88"/>
      <c r="E25" s="88"/>
      <c r="F25" s="88"/>
      <c r="G25" s="211"/>
      <c r="Q25" s="87"/>
      <c r="AJ25" s="87"/>
    </row>
    <row r="26" spans="2:36" s="86" customFormat="1" ht="18.75" customHeight="1">
      <c r="B26" s="396" t="s">
        <v>21</v>
      </c>
      <c r="C26" s="397"/>
      <c r="D26" s="397"/>
      <c r="E26" s="397"/>
      <c r="F26" s="397"/>
      <c r="G26" s="398"/>
      <c r="Q26" s="87"/>
      <c r="AJ26" s="87"/>
    </row>
    <row r="27" spans="2:7" ht="13.5" customHeight="1">
      <c r="B27" s="204" t="s">
        <v>105</v>
      </c>
      <c r="C27" s="77">
        <v>1</v>
      </c>
      <c r="D27" s="77">
        <v>1</v>
      </c>
      <c r="E27" s="77">
        <v>1</v>
      </c>
      <c r="F27" s="77">
        <v>1</v>
      </c>
      <c r="G27" s="205">
        <v>1</v>
      </c>
    </row>
    <row r="28" spans="2:7" ht="13.5" customHeight="1">
      <c r="B28" s="212" t="s">
        <v>23</v>
      </c>
      <c r="C28" s="77">
        <v>2</v>
      </c>
      <c r="D28" s="77">
        <v>2</v>
      </c>
      <c r="E28" s="77">
        <v>2</v>
      </c>
      <c r="F28" s="77">
        <v>2</v>
      </c>
      <c r="G28" s="205">
        <v>2</v>
      </c>
    </row>
    <row r="29" spans="2:7" s="72" customFormat="1" ht="28.5">
      <c r="B29" s="213" t="s">
        <v>106</v>
      </c>
      <c r="C29" s="215">
        <f>C3*C5/100*C6/100*C27</f>
        <v>90250</v>
      </c>
      <c r="D29" s="215">
        <f>D3*D5/100*D6/100*D27</f>
        <v>76500</v>
      </c>
      <c r="E29" s="215">
        <f>E3*E5/100*E6/100*E27</f>
        <v>67500</v>
      </c>
      <c r="F29" s="215">
        <f>F3*F5/100*F6/100*F27</f>
        <v>58500</v>
      </c>
      <c r="G29" s="216">
        <f>G3*G6/100*G27</f>
        <v>40000</v>
      </c>
    </row>
    <row r="30" spans="2:7" s="72" customFormat="1" ht="28.5">
      <c r="B30" s="213" t="s">
        <v>107</v>
      </c>
      <c r="C30" s="215">
        <f>C3*C4/100*C5/100*C6/100*C28</f>
        <v>902.5</v>
      </c>
      <c r="D30" s="215">
        <f>D3*D4/100*D5/100*D6/100*D28</f>
        <v>765</v>
      </c>
      <c r="E30" s="215">
        <f>E3*E4/100*E5/100*E6/100*E28</f>
        <v>675</v>
      </c>
      <c r="F30" s="215">
        <f>F3*F4/100*F5/100*F6/100*F28</f>
        <v>585</v>
      </c>
      <c r="G30" s="216">
        <f>G3*G4/100*G6/100*G28</f>
        <v>400</v>
      </c>
    </row>
    <row r="31" spans="2:7" s="72" customFormat="1" ht="28.5">
      <c r="B31" s="213" t="s">
        <v>108</v>
      </c>
      <c r="C31" s="215">
        <f>C3*C4/100*C5/100*C6/100*C27</f>
        <v>451.25</v>
      </c>
      <c r="D31" s="215">
        <f>D3*D4/100*D5/100*D6/100*D27</f>
        <v>382.5</v>
      </c>
      <c r="E31" s="215">
        <f>E3*E4/100*E5/100*E6/100*E27</f>
        <v>337.5</v>
      </c>
      <c r="F31" s="215">
        <f>F3*F4/100*F5/100*F6/100*F27</f>
        <v>292.5</v>
      </c>
      <c r="G31" s="216">
        <f>G3*G4/100*G6/100*G27</f>
        <v>200</v>
      </c>
    </row>
    <row r="32" spans="2:7" ht="13.5" customHeight="1">
      <c r="B32" s="204" t="s">
        <v>109</v>
      </c>
      <c r="C32" s="77">
        <v>16</v>
      </c>
      <c r="D32" s="77">
        <v>16</v>
      </c>
      <c r="E32" s="77">
        <v>16</v>
      </c>
      <c r="F32" s="77">
        <v>16</v>
      </c>
      <c r="G32" s="205">
        <v>16</v>
      </c>
    </row>
    <row r="33" spans="2:7" s="72" customFormat="1" ht="13.5" customHeight="1">
      <c r="B33" s="213" t="s">
        <v>110</v>
      </c>
      <c r="C33" s="215">
        <f>C3*C4/100*C5/100*C6/100*C32</f>
        <v>7220</v>
      </c>
      <c r="D33" s="215">
        <f>D3*D4/100*D5/100*D6/100*D32</f>
        <v>6120</v>
      </c>
      <c r="E33" s="215">
        <f>E3*E4/100*E5/100*E6/100*E32</f>
        <v>5400</v>
      </c>
      <c r="F33" s="215">
        <f>F3*F4/100*F5/100*F6/100*F32</f>
        <v>4680</v>
      </c>
      <c r="G33" s="216">
        <f>G3*G4/100*G6/100*G32</f>
        <v>3200</v>
      </c>
    </row>
    <row r="34" spans="2:7" ht="13.5" customHeight="1">
      <c r="B34" s="204" t="s">
        <v>111</v>
      </c>
      <c r="C34" s="77">
        <v>10</v>
      </c>
      <c r="D34" s="77">
        <v>10</v>
      </c>
      <c r="E34" s="77">
        <v>10</v>
      </c>
      <c r="F34" s="77">
        <v>10</v>
      </c>
      <c r="G34" s="205">
        <v>10</v>
      </c>
    </row>
    <row r="35" spans="2:7" s="72" customFormat="1" ht="28.5">
      <c r="B35" s="213" t="s">
        <v>112</v>
      </c>
      <c r="C35" s="215">
        <f>C3*C4/100*C5/100*C6/100*C34*2</f>
        <v>9025</v>
      </c>
      <c r="D35" s="215">
        <f>D3*D4/100*D5/100*D6/100*D34*2</f>
        <v>7650</v>
      </c>
      <c r="E35" s="215">
        <f>E3*E4/100*E5/100*E6/100*E34*2</f>
        <v>6750</v>
      </c>
      <c r="F35" s="215">
        <f>F3*F4/100*F5/100*F6/100*F34*2</f>
        <v>5850</v>
      </c>
      <c r="G35" s="216">
        <f>G3*G4/100*G6/100*G34*2</f>
        <v>4000</v>
      </c>
    </row>
    <row r="36" spans="2:7" s="72" customFormat="1" ht="14.25">
      <c r="B36" s="204" t="s">
        <v>268</v>
      </c>
      <c r="C36" s="77">
        <v>40</v>
      </c>
      <c r="D36" s="77">
        <v>40</v>
      </c>
      <c r="E36" s="77">
        <v>40</v>
      </c>
      <c r="F36" s="77">
        <v>40</v>
      </c>
      <c r="G36" s="205">
        <v>40</v>
      </c>
    </row>
    <row r="37" spans="2:7" s="72" customFormat="1" ht="29.25" thickBot="1">
      <c r="B37" s="214" t="s">
        <v>113</v>
      </c>
      <c r="C37" s="217">
        <f>C3*C4/100*C5/100*C6/100*C36*2</f>
        <v>36100</v>
      </c>
      <c r="D37" s="217">
        <f>D3*D4/100*D5/100*D6/100*D36*2</f>
        <v>30600</v>
      </c>
      <c r="E37" s="217">
        <f>E3*E4/100*E5/100*E6/100*E36*2</f>
        <v>27000</v>
      </c>
      <c r="F37" s="217">
        <f>F3*F4/100*F5/100*F6/100*F36*2</f>
        <v>23400</v>
      </c>
      <c r="G37" s="218">
        <f>G3*G4/100*G6/100*G36*2</f>
        <v>16000</v>
      </c>
    </row>
    <row r="38" spans="1:8" ht="13.5" customHeight="1" thickTop="1">
      <c r="A38" s="90"/>
      <c r="B38" s="109"/>
      <c r="C38" s="78"/>
      <c r="D38" s="78"/>
      <c r="E38" s="78"/>
      <c r="F38" s="78"/>
      <c r="G38" s="78"/>
      <c r="H38" s="90"/>
    </row>
    <row r="39" spans="1:7" ht="15" customHeight="1">
      <c r="A39" s="90"/>
      <c r="B39" s="399" t="s">
        <v>398</v>
      </c>
      <c r="C39" s="399"/>
      <c r="D39" s="399"/>
      <c r="E39" s="399"/>
      <c r="F39" s="399"/>
      <c r="G39" s="399"/>
    </row>
    <row r="40" spans="1:7" ht="15" customHeight="1">
      <c r="A40" s="90"/>
      <c r="B40" s="299" t="s">
        <v>82</v>
      </c>
      <c r="C40" s="93"/>
      <c r="D40" s="93"/>
      <c r="E40" s="394" t="s">
        <v>458</v>
      </c>
      <c r="F40" s="394"/>
      <c r="G40" s="93"/>
    </row>
    <row r="41" spans="1:7" ht="15" customHeight="1">
      <c r="A41" s="90"/>
      <c r="B41" s="138" t="s">
        <v>34</v>
      </c>
      <c r="C41" s="94">
        <v>0.26</v>
      </c>
      <c r="D41" s="93"/>
      <c r="E41" s="95" t="s">
        <v>390</v>
      </c>
      <c r="F41" s="94">
        <v>5</v>
      </c>
      <c r="G41" s="93"/>
    </row>
    <row r="42" spans="1:7" ht="15" customHeight="1">
      <c r="A42" s="90"/>
      <c r="B42" s="305" t="s">
        <v>119</v>
      </c>
      <c r="C42" s="94">
        <v>0.01</v>
      </c>
      <c r="D42" s="93"/>
      <c r="E42" s="95" t="s">
        <v>28</v>
      </c>
      <c r="F42" s="94">
        <v>20</v>
      </c>
      <c r="G42" s="93"/>
    </row>
    <row r="43" spans="1:7" ht="15" customHeight="1">
      <c r="A43" s="90"/>
      <c r="B43" s="305" t="s">
        <v>36</v>
      </c>
      <c r="C43" s="94">
        <v>0.11</v>
      </c>
      <c r="D43" s="93"/>
      <c r="E43" s="93"/>
      <c r="F43" s="93"/>
      <c r="G43" s="93"/>
    </row>
    <row r="44" spans="1:7" ht="15" customHeight="1">
      <c r="A44" s="90"/>
      <c r="B44" s="305" t="s">
        <v>37</v>
      </c>
      <c r="C44" s="94">
        <v>0.14</v>
      </c>
      <c r="D44" s="93"/>
      <c r="E44" s="93"/>
      <c r="F44" s="93"/>
      <c r="G44" s="93"/>
    </row>
    <row r="45" spans="1:7" ht="15" customHeight="1">
      <c r="A45" s="90"/>
      <c r="B45" s="305" t="s">
        <v>38</v>
      </c>
      <c r="C45" s="94">
        <v>0.18</v>
      </c>
      <c r="D45" s="93"/>
      <c r="E45" s="93"/>
      <c r="F45" s="93"/>
      <c r="G45" s="93"/>
    </row>
    <row r="46" spans="1:7" ht="15" customHeight="1">
      <c r="A46" s="90"/>
      <c r="B46" s="305" t="s">
        <v>39</v>
      </c>
      <c r="C46" s="94">
        <v>0.14</v>
      </c>
      <c r="D46" s="93"/>
      <c r="E46" s="93"/>
      <c r="F46" s="93"/>
      <c r="G46" s="93"/>
    </row>
    <row r="47" spans="1:7" ht="15" customHeight="1">
      <c r="A47" s="90"/>
      <c r="B47" s="305" t="s">
        <v>40</v>
      </c>
      <c r="C47" s="94">
        <v>0.29</v>
      </c>
      <c r="D47" s="93"/>
      <c r="E47" s="93"/>
      <c r="F47" s="93"/>
      <c r="G47" s="93"/>
    </row>
    <row r="48" spans="1:7" ht="15" customHeight="1">
      <c r="A48" s="90"/>
      <c r="B48" s="305" t="s">
        <v>242</v>
      </c>
      <c r="C48" s="94">
        <v>0.01</v>
      </c>
      <c r="D48" s="93"/>
      <c r="E48" s="93"/>
      <c r="F48" s="93"/>
      <c r="G48" s="93"/>
    </row>
    <row r="49" spans="1:7" ht="15" customHeight="1">
      <c r="A49" s="90"/>
      <c r="B49" s="305" t="s">
        <v>42</v>
      </c>
      <c r="C49" s="94">
        <v>0.58</v>
      </c>
      <c r="D49" s="93"/>
      <c r="E49" s="93"/>
      <c r="F49" s="93"/>
      <c r="G49" s="93"/>
    </row>
    <row r="50" spans="1:7" ht="15" customHeight="1">
      <c r="A50" s="90"/>
      <c r="B50" s="305" t="s">
        <v>43</v>
      </c>
      <c r="C50" s="94">
        <v>0.66</v>
      </c>
      <c r="D50" s="93"/>
      <c r="E50" s="93"/>
      <c r="F50" s="93"/>
      <c r="G50" s="93"/>
    </row>
    <row r="51" spans="1:7" ht="15" customHeight="1">
      <c r="A51" s="90"/>
      <c r="B51" s="96"/>
      <c r="C51" s="97"/>
      <c r="D51" s="93"/>
      <c r="E51" s="93"/>
      <c r="F51" s="93"/>
      <c r="G51" s="93"/>
    </row>
    <row r="52" spans="1:7" ht="13.5" customHeight="1">
      <c r="A52" s="90"/>
      <c r="B52" s="391" t="s">
        <v>447</v>
      </c>
      <c r="C52" s="391"/>
      <c r="D52" s="391"/>
      <c r="E52" s="391"/>
      <c r="F52" s="391"/>
      <c r="G52" s="391"/>
    </row>
    <row r="53" spans="2:7" ht="30.75" customHeight="1">
      <c r="B53" s="76" t="s">
        <v>261</v>
      </c>
      <c r="C53" s="77">
        <v>40</v>
      </c>
      <c r="D53" s="77">
        <v>40</v>
      </c>
      <c r="E53" s="77">
        <v>40</v>
      </c>
      <c r="F53" s="77">
        <v>40</v>
      </c>
      <c r="G53" s="77">
        <v>40</v>
      </c>
    </row>
    <row r="54" spans="2:7" ht="30.75" customHeight="1">
      <c r="B54" s="76" t="s">
        <v>448</v>
      </c>
      <c r="C54" s="77">
        <v>100</v>
      </c>
      <c r="D54" s="77">
        <v>100</v>
      </c>
      <c r="E54" s="77">
        <v>100</v>
      </c>
      <c r="F54" s="77">
        <v>100</v>
      </c>
      <c r="G54" s="77">
        <v>100</v>
      </c>
    </row>
    <row r="55" spans="2:7" ht="30.75" customHeight="1">
      <c r="B55" s="80" t="s">
        <v>449</v>
      </c>
      <c r="C55" s="63">
        <f>100-C54</f>
        <v>0</v>
      </c>
      <c r="D55" s="63">
        <f>100-D54</f>
        <v>0</v>
      </c>
      <c r="E55" s="63">
        <f>100-E54</f>
        <v>0</v>
      </c>
      <c r="F55" s="63">
        <f>100-F54</f>
        <v>0</v>
      </c>
      <c r="G55" s="63">
        <f>100-G54</f>
        <v>0</v>
      </c>
    </row>
    <row r="56" spans="2:7" s="72" customFormat="1" ht="14.25">
      <c r="B56" s="80" t="s">
        <v>78</v>
      </c>
      <c r="C56" s="273">
        <v>2</v>
      </c>
      <c r="D56" s="273">
        <v>2</v>
      </c>
      <c r="E56" s="273">
        <v>2</v>
      </c>
      <c r="F56" s="273">
        <v>2</v>
      </c>
      <c r="G56" s="273">
        <v>2</v>
      </c>
    </row>
    <row r="57" spans="2:7" ht="28.5">
      <c r="B57" s="80" t="s">
        <v>209</v>
      </c>
      <c r="C57" s="64">
        <f>'6. Costos medicamentos-PTMI'!$K$15</f>
        <v>66.14999999999999</v>
      </c>
      <c r="D57" s="64">
        <f>'6. Costos medicamentos-PTMI'!$K$15</f>
        <v>66.14999999999999</v>
      </c>
      <c r="E57" s="64">
        <f>'6. Costos medicamentos-PTMI'!$K$15</f>
        <v>66.14999999999999</v>
      </c>
      <c r="F57" s="64">
        <f>'6. Costos medicamentos-PTMI'!$K$15</f>
        <v>66.14999999999999</v>
      </c>
      <c r="G57" s="64">
        <f>'6. Costos medicamentos-PTMI'!$K$15</f>
        <v>66.14999999999999</v>
      </c>
    </row>
    <row r="58" spans="2:7" ht="28.5">
      <c r="B58" s="80" t="s">
        <v>299</v>
      </c>
      <c r="C58" s="64">
        <f>'6. Costos medicamentos-PTMI'!$K$16+'6. Costos medicamentos-PTMI'!$K$17</f>
        <v>264.59999999999997</v>
      </c>
      <c r="D58" s="64">
        <f>'6. Costos medicamentos-PTMI'!$K$16+'6. Costos medicamentos-PTMI'!$K$17</f>
        <v>264.59999999999997</v>
      </c>
      <c r="E58" s="64">
        <f>'6. Costos medicamentos-PTMI'!$K$16+'6. Costos medicamentos-PTMI'!$K$17</f>
        <v>264.59999999999997</v>
      </c>
      <c r="F58" s="64">
        <f>'6. Costos medicamentos-PTMI'!$K$16+'6. Costos medicamentos-PTMI'!$K$17</f>
        <v>264.59999999999997</v>
      </c>
      <c r="G58" s="64">
        <f>'6. Costos medicamentos-PTMI'!$K$16+'6. Costos medicamentos-PTMI'!$K$17</f>
        <v>264.59999999999997</v>
      </c>
    </row>
    <row r="59" spans="2:7" s="72" customFormat="1" ht="13.5" customHeight="1">
      <c r="B59" s="80" t="s">
        <v>160</v>
      </c>
      <c r="C59" s="68">
        <f>IF(C56=1,'6. Costos medicamentos-PTMI'!$K$18,IF(C56=2,'6. Costos medicamentos-PTMI'!$K$19))</f>
        <v>2</v>
      </c>
      <c r="D59" s="68">
        <f>IF(D56=1,'6. Costos medicamentos-PTMI'!$K$18,IF(D56=2,'6. Costos medicamentos-PTMI'!$K$19))</f>
        <v>2</v>
      </c>
      <c r="E59" s="68">
        <f>IF(E56=1,'6. Costos medicamentos-PTMI'!$K$18,IF(E56=2,'6. Costos medicamentos-PTMI'!$K$19))</f>
        <v>2</v>
      </c>
      <c r="F59" s="68">
        <f>IF(F56=1,'6. Costos medicamentos-PTMI'!$K$18,IF(F56=2,'6. Costos medicamentos-PTMI'!$K$19))</f>
        <v>2</v>
      </c>
      <c r="G59" s="68">
        <f>IF(G56=1,'6. Costos medicamentos-PTMI'!$K$18,IF(G56=2,'6. Costos medicamentos-PTMI'!$K$19))</f>
        <v>2</v>
      </c>
    </row>
    <row r="60" spans="2:7" s="72" customFormat="1" ht="30.75" customHeight="1">
      <c r="B60" s="80" t="s">
        <v>363</v>
      </c>
      <c r="C60" s="68">
        <f>C57*C15*C53/100*C54/100+C58*C15*C53/100*C55/100</f>
        <v>11343.071249999997</v>
      </c>
      <c r="D60" s="68">
        <f>D57*D15*D53/100*D54/100+D58*D15*D53/100*D55/100</f>
        <v>8602.807499999997</v>
      </c>
      <c r="E60" s="68">
        <f>E57*E15*E53/100*E54/100+E58*E15*E53/100*E55/100</f>
        <v>6697.687499999999</v>
      </c>
      <c r="F60" s="68">
        <f>F57*F15*F53/100*F54/100+F58*F15*F53/100*F55/100</f>
        <v>5030.7075</v>
      </c>
      <c r="G60" s="68">
        <f>G57*G15*G53/100*G54/100+G58*G15*G53/100*G55/100</f>
        <v>5291.999999999999</v>
      </c>
    </row>
    <row r="61" spans="2:7" s="72" customFormat="1" ht="30" customHeight="1">
      <c r="B61" s="80" t="s">
        <v>364</v>
      </c>
      <c r="C61" s="68">
        <f>C59*C15*C53/100</f>
        <v>342.95</v>
      </c>
      <c r="D61" s="68">
        <f>D59*D15*D53/100</f>
        <v>260.1</v>
      </c>
      <c r="E61" s="68">
        <f>E59*E15*E53/100</f>
        <v>202.5</v>
      </c>
      <c r="F61" s="68">
        <f>F59*F15*F53/100</f>
        <v>152.1</v>
      </c>
      <c r="G61" s="68">
        <f>G59*G15*G53/100</f>
        <v>160</v>
      </c>
    </row>
    <row r="62" spans="2:7" s="72" customFormat="1" ht="14.25" customHeight="1">
      <c r="B62" s="98" t="s">
        <v>454</v>
      </c>
      <c r="C62" s="99">
        <f>C60+C61</f>
        <v>11686.021249999998</v>
      </c>
      <c r="D62" s="99">
        <f>D60+D61</f>
        <v>8862.907499999998</v>
      </c>
      <c r="E62" s="99">
        <f>E60+E61</f>
        <v>6900.187499999999</v>
      </c>
      <c r="F62" s="99">
        <f>F60+F61</f>
        <v>5182.807500000001</v>
      </c>
      <c r="G62" s="99">
        <f>G60+G61</f>
        <v>5451.999999999999</v>
      </c>
    </row>
    <row r="63" spans="1:8" s="72" customFormat="1" ht="13.5" customHeight="1">
      <c r="A63" s="100"/>
      <c r="B63" s="91"/>
      <c r="C63" s="92"/>
      <c r="D63" s="92"/>
      <c r="E63" s="92"/>
      <c r="F63" s="92"/>
      <c r="G63" s="92"/>
      <c r="H63" s="100"/>
    </row>
    <row r="64" spans="1:8" s="72" customFormat="1" ht="13.5" customHeight="1">
      <c r="A64" s="100"/>
      <c r="B64" s="300" t="s">
        <v>451</v>
      </c>
      <c r="C64" s="101"/>
      <c r="D64" s="101"/>
      <c r="E64" s="101"/>
      <c r="F64" s="101"/>
      <c r="G64" s="101"/>
      <c r="H64" s="100"/>
    </row>
    <row r="65" spans="2:7" s="72" customFormat="1" ht="28.5">
      <c r="B65" s="81" t="s">
        <v>450</v>
      </c>
      <c r="C65" s="102">
        <f>100-C53</f>
        <v>60</v>
      </c>
      <c r="D65" s="102">
        <f>100-D53</f>
        <v>60</v>
      </c>
      <c r="E65" s="102">
        <f>100-E53</f>
        <v>60</v>
      </c>
      <c r="F65" s="102">
        <f>100-F53</f>
        <v>60</v>
      </c>
      <c r="G65" s="102">
        <f>100-G53</f>
        <v>60</v>
      </c>
    </row>
    <row r="66" spans="2:7" s="72" customFormat="1" ht="28.5">
      <c r="B66" s="80" t="s">
        <v>77</v>
      </c>
      <c r="C66" s="66">
        <v>6</v>
      </c>
      <c r="D66" s="66">
        <v>6</v>
      </c>
      <c r="E66" s="66">
        <v>6</v>
      </c>
      <c r="F66" s="66">
        <v>6</v>
      </c>
      <c r="G66" s="66">
        <v>6</v>
      </c>
    </row>
    <row r="67" spans="2:7" s="72" customFormat="1" ht="14.25">
      <c r="B67" s="80" t="s">
        <v>78</v>
      </c>
      <c r="C67" s="66">
        <v>2</v>
      </c>
      <c r="D67" s="66">
        <v>2</v>
      </c>
      <c r="E67" s="66">
        <v>2</v>
      </c>
      <c r="F67" s="66">
        <v>2</v>
      </c>
      <c r="G67" s="66">
        <v>2</v>
      </c>
    </row>
    <row r="68" spans="2:7" s="72" customFormat="1" ht="14.25">
      <c r="B68" s="81" t="s">
        <v>452</v>
      </c>
      <c r="C68" s="89">
        <f>'6. Costos medicamentos-PTMI'!$K$28+'6. Costos medicamentos-PTMI'!$K$29</f>
        <v>264.59999999999997</v>
      </c>
      <c r="D68" s="89">
        <f>'6. Costos medicamentos-PTMI'!$K$28+'6. Costos medicamentos-PTMI'!$K$29</f>
        <v>264.59999999999997</v>
      </c>
      <c r="E68" s="89">
        <f>'6. Costos medicamentos-PTMI'!$K$28+'6. Costos medicamentos-PTMI'!$K$29</f>
        <v>264.59999999999997</v>
      </c>
      <c r="F68" s="89">
        <f>'6. Costos medicamentos-PTMI'!$K$28+'6. Costos medicamentos-PTMI'!$K$29</f>
        <v>264.59999999999997</v>
      </c>
      <c r="G68" s="89">
        <f>'6. Costos medicamentos-PTMI'!$K$28+'6. Costos medicamentos-PTMI'!$K$29</f>
        <v>264.59999999999997</v>
      </c>
    </row>
    <row r="69" spans="2:7" s="72" customFormat="1" ht="14.25">
      <c r="B69" s="81" t="s">
        <v>453</v>
      </c>
      <c r="C69" s="89">
        <f>IF(C67=1,'6. Costos medicamentos-PTMI'!$K$36,IF(C67=2,'6. Costos medicamentos-PTMI'!$K$37))</f>
        <v>2</v>
      </c>
      <c r="D69" s="89">
        <f>IF(D67=1,'6. Costos medicamentos-PTMI'!$K$36,IF(D67=2,'6. Costos medicamentos-PTMI'!$K$37))</f>
        <v>2</v>
      </c>
      <c r="E69" s="89">
        <f>IF(E67=1,'6. Costos medicamentos-PTMI'!$K$36,IF(E67=2,'6. Costos medicamentos-PTMI'!$K$37))</f>
        <v>2</v>
      </c>
      <c r="F69" s="89">
        <f>IF(F67=1,'6. Costos medicamentos-PTMI'!$K$36,IF(F67=2,'6. Costos medicamentos-PTMI'!$K$37))</f>
        <v>2</v>
      </c>
      <c r="G69" s="89">
        <f>IF(G67=1,'6. Costos medicamentos-PTMI'!$K$36,IF(G67=2,'6. Costos medicamentos-PTMI'!$K$37))</f>
        <v>2</v>
      </c>
    </row>
    <row r="70" spans="2:7" s="72" customFormat="1" ht="28.5">
      <c r="B70" s="81" t="s">
        <v>471</v>
      </c>
      <c r="C70" s="89">
        <f>C68*C15*C65/100</f>
        <v>68058.42749999999</v>
      </c>
      <c r="D70" s="89">
        <f>D68*D15*D65/100</f>
        <v>51616.844999999994</v>
      </c>
      <c r="E70" s="89">
        <f>E68*E15*E65/100</f>
        <v>40186.12499999999</v>
      </c>
      <c r="F70" s="89">
        <f>F68*F15*F65/100</f>
        <v>30184.245</v>
      </c>
      <c r="G70" s="89">
        <f>G68*G15*G65/100</f>
        <v>31751.999999999996</v>
      </c>
    </row>
    <row r="71" spans="2:7" s="72" customFormat="1" ht="28.5">
      <c r="B71" s="81" t="s">
        <v>362</v>
      </c>
      <c r="C71" s="89">
        <f>C69*C15*C65/100</f>
        <v>514.425</v>
      </c>
      <c r="D71" s="89">
        <f>D69*D15*D65/100</f>
        <v>390.15</v>
      </c>
      <c r="E71" s="89">
        <f>E69*E15*E65/100</f>
        <v>303.75</v>
      </c>
      <c r="F71" s="89">
        <f>F69*F15*F65/100</f>
        <v>228.15</v>
      </c>
      <c r="G71" s="89">
        <f>G69*G15*G65/100</f>
        <v>240</v>
      </c>
    </row>
    <row r="72" spans="2:7" s="72" customFormat="1" ht="14.25">
      <c r="B72" s="98" t="s">
        <v>454</v>
      </c>
      <c r="C72" s="99">
        <f>C70+C71</f>
        <v>68572.8525</v>
      </c>
      <c r="D72" s="99">
        <f>D70+D71</f>
        <v>52006.994999999995</v>
      </c>
      <c r="E72" s="99">
        <f>E70+E71</f>
        <v>40489.87499999999</v>
      </c>
      <c r="F72" s="99">
        <f>F70+F71</f>
        <v>30412.395</v>
      </c>
      <c r="G72" s="99">
        <f>G70+G71</f>
        <v>31991.999999999996</v>
      </c>
    </row>
    <row r="73" spans="1:8" s="72" customFormat="1" ht="13.5" customHeight="1">
      <c r="A73" s="100"/>
      <c r="B73" s="91"/>
      <c r="C73" s="92"/>
      <c r="D73" s="92"/>
      <c r="E73" s="92"/>
      <c r="F73" s="92"/>
      <c r="G73" s="92"/>
      <c r="H73" s="100"/>
    </row>
    <row r="74" spans="1:8" s="72" customFormat="1" ht="13.5" customHeight="1">
      <c r="A74" s="100"/>
      <c r="B74" s="103" t="s">
        <v>391</v>
      </c>
      <c r="C74" s="78"/>
      <c r="D74" s="78"/>
      <c r="E74" s="78"/>
      <c r="F74" s="78"/>
      <c r="G74" s="78"/>
      <c r="H74" s="100"/>
    </row>
    <row r="75" spans="1:8" s="72" customFormat="1" ht="13.5" customHeight="1">
      <c r="A75" s="100"/>
      <c r="B75" s="76" t="s">
        <v>84</v>
      </c>
      <c r="C75" s="104">
        <v>900</v>
      </c>
      <c r="D75" s="105"/>
      <c r="E75" s="78"/>
      <c r="F75" s="78"/>
      <c r="G75" s="78"/>
      <c r="H75" s="100"/>
    </row>
    <row r="76" spans="1:8" s="72" customFormat="1" ht="13.5" customHeight="1">
      <c r="A76" s="100"/>
      <c r="B76" s="76" t="s">
        <v>85</v>
      </c>
      <c r="C76" s="104">
        <v>15</v>
      </c>
      <c r="D76" s="105"/>
      <c r="E76" s="78"/>
      <c r="F76" s="78"/>
      <c r="G76" s="78"/>
      <c r="H76" s="100"/>
    </row>
    <row r="77" spans="1:8" s="72" customFormat="1" ht="13.5" customHeight="1">
      <c r="A77" s="100"/>
      <c r="B77" s="138" t="s">
        <v>83</v>
      </c>
      <c r="C77" s="296">
        <v>7.9</v>
      </c>
      <c r="D77" s="78"/>
      <c r="E77" s="78"/>
      <c r="F77" s="78"/>
      <c r="G77" s="78"/>
      <c r="H77" s="100"/>
    </row>
    <row r="78" spans="1:8" s="72" customFormat="1" ht="13.5" customHeight="1">
      <c r="A78" s="100"/>
      <c r="B78" s="106"/>
      <c r="C78" s="107"/>
      <c r="D78" s="101"/>
      <c r="E78" s="101"/>
      <c r="F78" s="101"/>
      <c r="G78" s="101"/>
      <c r="H78" s="100"/>
    </row>
    <row r="79" spans="1:8" s="72" customFormat="1" ht="13.5" customHeight="1">
      <c r="A79" s="100"/>
      <c r="B79" s="76" t="s">
        <v>392</v>
      </c>
      <c r="C79" s="108">
        <v>6</v>
      </c>
      <c r="D79" s="108">
        <v>6</v>
      </c>
      <c r="E79" s="108">
        <v>6</v>
      </c>
      <c r="F79" s="108">
        <v>6</v>
      </c>
      <c r="G79" s="108">
        <v>6</v>
      </c>
      <c r="H79" s="100"/>
    </row>
    <row r="80" spans="1:8" s="72" customFormat="1" ht="13.5" customHeight="1">
      <c r="A80" s="100"/>
      <c r="B80" s="81" t="s">
        <v>142</v>
      </c>
      <c r="C80" s="89">
        <f>IF(C79=6,'7. Costo alimentac. sustitución'!$H$13,IF(C79=12,'7. Costo alimentac. sustitución'!$H$14,IF(C79=18,'7. Costo alimentac. sustitución'!$H$15,IF(C79=0,0))))</f>
        <v>414.88166666666666</v>
      </c>
      <c r="D80" s="89">
        <f>IF(D79=6,'7. Costo alimentac. sustitución'!$H$13,IF(D79=12,'7. Costo alimentac. sustitución'!$H$14,IF(D79=18,'7. Costo alimentac. sustitución'!$H$15,IF(D79=0,0))))</f>
        <v>414.88166666666666</v>
      </c>
      <c r="E80" s="89">
        <f>IF(E79=6,'7. Costo alimentac. sustitución'!$H$13,IF(E79=12,'7. Costo alimentac. sustitución'!$H$14,IF(E79=18,'7. Costo alimentac. sustitución'!$H$15,IF(E79=0,0))))</f>
        <v>414.88166666666666</v>
      </c>
      <c r="F80" s="89">
        <f>IF(F79=6,'7. Costo alimentac. sustitución'!$H$13,IF(F79=12,'7. Costo alimentac. sustitución'!$H$14,IF(F79=18,'7. Costo alimentac. sustitución'!$H$15,IF(F79=0,0))))</f>
        <v>414.88166666666666</v>
      </c>
      <c r="G80" s="89">
        <f>IF(G79=6,'7. Costo alimentac. sustitución'!$H$13,IF(G79=12,'7. Costo alimentac. sustitución'!$H$14,IF(G79=18,'7. Costo alimentac. sustitución'!$H$15,IF(G79=0,0))))</f>
        <v>414.88166666666666</v>
      </c>
      <c r="H80" s="100"/>
    </row>
    <row r="81" spans="1:8" s="72" customFormat="1" ht="26.25" customHeight="1">
      <c r="A81" s="100"/>
      <c r="B81" s="81" t="s">
        <v>266</v>
      </c>
      <c r="C81" s="99">
        <f>C80*C15</f>
        <v>177854.58447916666</v>
      </c>
      <c r="D81" s="99">
        <f>D80*D15</f>
        <v>134888.401875</v>
      </c>
      <c r="E81" s="99">
        <f>E80*E15</f>
        <v>105016.921875</v>
      </c>
      <c r="F81" s="99">
        <f>F80*F15</f>
        <v>78879.376875</v>
      </c>
      <c r="G81" s="99">
        <f>G80*G15</f>
        <v>82976.33333333333</v>
      </c>
      <c r="H81" s="100"/>
    </row>
    <row r="82" spans="1:8" s="72" customFormat="1" ht="13.5" customHeight="1">
      <c r="A82" s="100"/>
      <c r="B82" s="109"/>
      <c r="C82" s="78"/>
      <c r="D82" s="78"/>
      <c r="E82" s="78"/>
      <c r="F82" s="78"/>
      <c r="G82" s="78"/>
      <c r="H82" s="100"/>
    </row>
    <row r="83" spans="1:8" s="72" customFormat="1" ht="13.5" customHeight="1">
      <c r="A83" s="100"/>
      <c r="B83" s="110" t="s">
        <v>300</v>
      </c>
      <c r="C83" s="101"/>
      <c r="D83" s="101"/>
      <c r="E83" s="101"/>
      <c r="F83" s="101"/>
      <c r="G83" s="101"/>
      <c r="H83" s="100"/>
    </row>
    <row r="84" spans="1:8" s="72" customFormat="1" ht="14.25">
      <c r="A84" s="100"/>
      <c r="B84" s="76" t="s">
        <v>151</v>
      </c>
      <c r="C84" s="77">
        <v>100</v>
      </c>
      <c r="D84" s="77">
        <v>100</v>
      </c>
      <c r="E84" s="77">
        <v>100</v>
      </c>
      <c r="F84" s="77">
        <v>100</v>
      </c>
      <c r="G84" s="77">
        <v>100</v>
      </c>
      <c r="H84" s="100"/>
    </row>
    <row r="85" spans="1:8" s="72" customFormat="1" ht="28.5">
      <c r="A85" s="100"/>
      <c r="B85" s="81" t="s">
        <v>152</v>
      </c>
      <c r="C85" s="63">
        <f>100-C84</f>
        <v>0</v>
      </c>
      <c r="D85" s="63">
        <f>100-D84</f>
        <v>0</v>
      </c>
      <c r="E85" s="63">
        <f>100-E84</f>
        <v>0</v>
      </c>
      <c r="F85" s="63">
        <f>100-F84</f>
        <v>0</v>
      </c>
      <c r="G85" s="63">
        <f>100-G84</f>
        <v>0</v>
      </c>
      <c r="H85" s="100"/>
    </row>
    <row r="86" spans="1:8" s="72" customFormat="1" ht="14.25">
      <c r="A86" s="100"/>
      <c r="B86" s="76" t="s">
        <v>153</v>
      </c>
      <c r="C86" s="77">
        <v>240</v>
      </c>
      <c r="D86" s="77">
        <v>240</v>
      </c>
      <c r="E86" s="77">
        <v>240</v>
      </c>
      <c r="F86" s="77">
        <v>240</v>
      </c>
      <c r="G86" s="77">
        <v>240</v>
      </c>
      <c r="H86" s="100"/>
    </row>
    <row r="87" spans="1:8" s="72" customFormat="1" ht="14.25">
      <c r="A87" s="100"/>
      <c r="B87" s="76" t="s">
        <v>154</v>
      </c>
      <c r="C87" s="77">
        <v>120</v>
      </c>
      <c r="D87" s="77">
        <v>120</v>
      </c>
      <c r="E87" s="77">
        <v>120</v>
      </c>
      <c r="F87" s="77">
        <v>120</v>
      </c>
      <c r="G87" s="77">
        <v>120</v>
      </c>
      <c r="H87" s="100"/>
    </row>
    <row r="88" spans="1:8" s="72" customFormat="1" ht="14.25">
      <c r="A88" s="100"/>
      <c r="B88" s="81" t="s">
        <v>303</v>
      </c>
      <c r="C88" s="63">
        <f>C86-C87</f>
        <v>120</v>
      </c>
      <c r="D88" s="63">
        <f>D86-D87</f>
        <v>120</v>
      </c>
      <c r="E88" s="63">
        <f>E86-E87</f>
        <v>120</v>
      </c>
      <c r="F88" s="63">
        <f>F86-F87</f>
        <v>120</v>
      </c>
      <c r="G88" s="63">
        <f>G86-G87</f>
        <v>120</v>
      </c>
      <c r="H88" s="100"/>
    </row>
    <row r="89" spans="1:8" s="72" customFormat="1" ht="28.5">
      <c r="A89" s="100"/>
      <c r="B89" s="81" t="s">
        <v>144</v>
      </c>
      <c r="C89" s="89">
        <f>C3*C4/100*C5/100*C6/100*C7/100*C84/100*C88</f>
        <v>51442.5</v>
      </c>
      <c r="D89" s="89">
        <f>D3*D4/100*D5/100*D6/100*D7/100*D84/100*D88</f>
        <v>39015</v>
      </c>
      <c r="E89" s="89">
        <f>E3*E4/100*E5/100*E6/100*E7/100*E84/100*E88</f>
        <v>30375</v>
      </c>
      <c r="F89" s="89">
        <f>F3*F4/100*F5/100*F6/100*F7/100*F84/100*F88</f>
        <v>22815</v>
      </c>
      <c r="G89" s="89">
        <f>G3*G4/100*G7/100*G84/100*G88</f>
        <v>24000</v>
      </c>
      <c r="H89" s="100"/>
    </row>
    <row r="90" spans="2:7" s="72" customFormat="1" ht="42.75">
      <c r="B90" s="76" t="s">
        <v>145</v>
      </c>
      <c r="C90" s="77">
        <v>14.2</v>
      </c>
      <c r="D90" s="77">
        <v>14.2</v>
      </c>
      <c r="E90" s="77">
        <v>14.2</v>
      </c>
      <c r="F90" s="77">
        <v>14.2</v>
      </c>
      <c r="G90" s="77">
        <v>14.2</v>
      </c>
    </row>
    <row r="91" spans="2:7" s="72" customFormat="1" ht="29.25" customHeight="1">
      <c r="B91" s="81" t="s">
        <v>146</v>
      </c>
      <c r="C91" s="89">
        <f>C15*C90*22/74+C15*C90*52/74/1.03</f>
        <v>5962.772031618997</v>
      </c>
      <c r="D91" s="89">
        <f>D15*D90*22/74+D15*D90*52/74/1.03</f>
        <v>4522.283147467856</v>
      </c>
      <c r="E91" s="89">
        <f>E15*E90*22/74+E15*E90*52/74/1.03</f>
        <v>3520.8086788244555</v>
      </c>
      <c r="F91" s="89">
        <f>F15*F90*22/74+F15*F90*52/74/1.03</f>
        <v>2644.51851876148</v>
      </c>
      <c r="G91" s="89">
        <f>G15*G90*22/74+G15*G90*52/74/1.03</f>
        <v>2781.8735240094466</v>
      </c>
    </row>
    <row r="92" spans="2:7" ht="28.5">
      <c r="B92" s="76" t="s">
        <v>147</v>
      </c>
      <c r="C92" s="77">
        <v>40</v>
      </c>
      <c r="D92" s="77">
        <v>40</v>
      </c>
      <c r="E92" s="77">
        <v>40</v>
      </c>
      <c r="F92" s="77">
        <v>40</v>
      </c>
      <c r="G92" s="77">
        <v>40</v>
      </c>
    </row>
    <row r="93" spans="2:7" ht="13.5" customHeight="1">
      <c r="B93" s="76" t="s">
        <v>148</v>
      </c>
      <c r="C93" s="77">
        <v>1</v>
      </c>
      <c r="D93" s="77">
        <v>1</v>
      </c>
      <c r="E93" s="77">
        <v>1</v>
      </c>
      <c r="F93" s="77">
        <v>1</v>
      </c>
      <c r="G93" s="77">
        <v>1</v>
      </c>
    </row>
    <row r="94" spans="2:7" s="72" customFormat="1" ht="13.5" customHeight="1">
      <c r="B94" s="81" t="s">
        <v>149</v>
      </c>
      <c r="C94" s="89">
        <f>C15*(C92*2+C93/1.03)</f>
        <v>34711.20145631068</v>
      </c>
      <c r="D94" s="89">
        <f>D15*(D92*2+D93/1.03)</f>
        <v>26325.655339805824</v>
      </c>
      <c r="E94" s="89">
        <f>E15*(E92*2+E93/1.03)</f>
        <v>20495.752427184467</v>
      </c>
      <c r="F94" s="89">
        <f>F15*(F92*2+F93/1.03)</f>
        <v>15394.587378640776</v>
      </c>
      <c r="G94" s="89">
        <f>G15*(G92*2+G93/1.03)</f>
        <v>16194.174757281553</v>
      </c>
    </row>
    <row r="95" spans="2:7" s="72" customFormat="1" ht="13.5" customHeight="1">
      <c r="B95" s="76" t="s">
        <v>155</v>
      </c>
      <c r="C95" s="77">
        <v>16</v>
      </c>
      <c r="D95" s="77">
        <v>16</v>
      </c>
      <c r="E95" s="77">
        <v>16</v>
      </c>
      <c r="F95" s="77">
        <v>16</v>
      </c>
      <c r="G95" s="77">
        <v>16</v>
      </c>
    </row>
    <row r="96" spans="2:7" s="72" customFormat="1" ht="13.5" customHeight="1">
      <c r="B96" s="81" t="s">
        <v>156</v>
      </c>
      <c r="C96" s="89">
        <f>C16*C95</f>
        <v>117.98</v>
      </c>
      <c r="D96" s="89">
        <f>D16*D95</f>
        <v>84.84</v>
      </c>
      <c r="E96" s="89">
        <f>E16*E95</f>
        <v>61.8</v>
      </c>
      <c r="F96" s="89">
        <f>F16*F95</f>
        <v>41.64</v>
      </c>
      <c r="G96" s="89">
        <f>G16*G95</f>
        <v>44.8</v>
      </c>
    </row>
    <row r="97" spans="2:7" ht="13.5" customHeight="1">
      <c r="B97" s="76" t="s">
        <v>157</v>
      </c>
      <c r="C97" s="77">
        <v>7</v>
      </c>
      <c r="D97" s="77">
        <v>7</v>
      </c>
      <c r="E97" s="77">
        <v>7</v>
      </c>
      <c r="F97" s="77">
        <v>7</v>
      </c>
      <c r="G97" s="77">
        <v>7</v>
      </c>
    </row>
    <row r="98" spans="2:36" s="86" customFormat="1" ht="30.75" customHeight="1">
      <c r="B98" s="111" t="s">
        <v>58</v>
      </c>
      <c r="C98" s="112">
        <v>20</v>
      </c>
      <c r="D98" s="112">
        <v>20</v>
      </c>
      <c r="E98" s="112">
        <v>20</v>
      </c>
      <c r="F98" s="112">
        <v>20</v>
      </c>
      <c r="G98" s="112">
        <v>20</v>
      </c>
      <c r="Q98" s="87"/>
      <c r="AJ98" s="87"/>
    </row>
    <row r="99" spans="2:7" s="72" customFormat="1" ht="13.5" customHeight="1">
      <c r="B99" s="81" t="s">
        <v>158</v>
      </c>
      <c r="C99" s="89">
        <f>C97*C98*C15*14/26+C97*C98*C15*12/26/1.03</f>
        <v>59209.459484690065</v>
      </c>
      <c r="D99" s="89">
        <f>D97*D98*D15*14/26+D97*D98*D15*12/26/1.03</f>
        <v>44905.6142643764</v>
      </c>
      <c r="E99" s="89">
        <f>E97*E98*E15*14/26+E97*E98*E15*12/26/1.03</f>
        <v>34961.11837191934</v>
      </c>
      <c r="F99" s="89">
        <f>F97*F98*F15*14/26+F97*F98*F15*12/26/1.03</f>
        <v>26259.68446601942</v>
      </c>
      <c r="G99" s="89">
        <f>G97*G98*G15*14/26+G97*G98*G15*12/26/1.03</f>
        <v>27623.599701269603</v>
      </c>
    </row>
    <row r="100" spans="1:8" s="72" customFormat="1" ht="6.75" customHeight="1">
      <c r="A100" s="100"/>
      <c r="B100" s="91"/>
      <c r="C100" s="113"/>
      <c r="D100" s="113"/>
      <c r="E100" s="113"/>
      <c r="F100" s="113"/>
      <c r="G100" s="113"/>
      <c r="H100" s="100"/>
    </row>
    <row r="101" spans="2:7" ht="13.5" customHeight="1">
      <c r="B101" s="114" t="s">
        <v>239</v>
      </c>
      <c r="C101" s="99">
        <f>C29+C30+C31+C33+C35+C37+C62+C72+C81+C89+C91+C94+C96+C99</f>
        <v>553506.1212017863</v>
      </c>
      <c r="D101" s="99">
        <f>D29+D30+D31+D33+D35+D37+D62+D72+D81+D89+D91+D94+D96+D99</f>
        <v>432629.19712665014</v>
      </c>
      <c r="E101" s="99">
        <f>E29+E30+E31+E33+E35+E37+E62+E72+E81+E89+E91+E94+E96+E99</f>
        <v>349483.96385292825</v>
      </c>
      <c r="F101" s="99">
        <f>F29+F30+F31+F33+F35+F37+F62+F72+F81+F89+F91+F94+F96+F99</f>
        <v>274937.50973842165</v>
      </c>
      <c r="G101" s="99">
        <f>G29+G30+G31+G33+G35+G37+G62+G72+G81+G89+G91+G94+G96+G99</f>
        <v>254864.78131589392</v>
      </c>
    </row>
    <row r="102" spans="1:8" ht="13.5" customHeight="1">
      <c r="A102" s="90"/>
      <c r="B102" s="115"/>
      <c r="C102" s="92"/>
      <c r="D102" s="92"/>
      <c r="E102" s="92"/>
      <c r="F102" s="92"/>
      <c r="G102" s="92"/>
      <c r="H102" s="90"/>
    </row>
    <row r="103" spans="1:8" ht="13.5" customHeight="1">
      <c r="A103" s="90"/>
      <c r="B103" s="103"/>
      <c r="C103" s="78"/>
      <c r="D103" s="78"/>
      <c r="E103" s="78"/>
      <c r="F103" s="78"/>
      <c r="G103" s="78"/>
      <c r="H103" s="90"/>
    </row>
    <row r="104" spans="1:8" ht="13.5" customHeight="1">
      <c r="A104" s="90"/>
      <c r="B104" s="103"/>
      <c r="C104" s="78"/>
      <c r="D104" s="78"/>
      <c r="E104" s="78"/>
      <c r="F104" s="78"/>
      <c r="G104" s="78"/>
      <c r="H104" s="90"/>
    </row>
    <row r="105" spans="1:7" ht="13.5" customHeight="1">
      <c r="A105" s="90"/>
      <c r="B105" s="116" t="s">
        <v>62</v>
      </c>
      <c r="C105" s="117"/>
      <c r="D105" s="117"/>
      <c r="E105" s="117"/>
      <c r="F105" s="117"/>
      <c r="G105" s="117"/>
    </row>
    <row r="106" spans="1:7" ht="13.5" customHeight="1">
      <c r="A106" s="90"/>
      <c r="B106" s="110"/>
      <c r="C106" s="101"/>
      <c r="D106" s="101"/>
      <c r="E106" s="101"/>
      <c r="F106" s="101"/>
      <c r="G106" s="101"/>
    </row>
    <row r="107" spans="2:7" ht="14.25" customHeight="1">
      <c r="B107" s="76" t="s">
        <v>63</v>
      </c>
      <c r="C107" s="118">
        <v>1</v>
      </c>
      <c r="D107" s="118">
        <v>1</v>
      </c>
      <c r="E107" s="118">
        <v>1</v>
      </c>
      <c r="F107" s="118">
        <v>1</v>
      </c>
      <c r="G107" s="118">
        <v>1</v>
      </c>
    </row>
    <row r="108" spans="2:7" ht="28.5">
      <c r="B108" s="76" t="s">
        <v>224</v>
      </c>
      <c r="C108" s="118">
        <v>95</v>
      </c>
      <c r="D108" s="118">
        <v>85</v>
      </c>
      <c r="E108" s="118">
        <v>75</v>
      </c>
      <c r="F108" s="118">
        <v>65</v>
      </c>
      <c r="G108" s="118">
        <v>50</v>
      </c>
    </row>
    <row r="109" spans="2:7" ht="28.5">
      <c r="B109" s="76" t="s">
        <v>150</v>
      </c>
      <c r="C109" s="118">
        <v>95</v>
      </c>
      <c r="D109" s="118">
        <v>85</v>
      </c>
      <c r="E109" s="118">
        <v>75</v>
      </c>
      <c r="F109" s="118">
        <v>65</v>
      </c>
      <c r="G109" s="118">
        <v>95</v>
      </c>
    </row>
    <row r="110" spans="2:7" ht="14.25">
      <c r="B110" s="76" t="s">
        <v>159</v>
      </c>
      <c r="C110" s="119">
        <v>0.7</v>
      </c>
      <c r="D110" s="119">
        <v>0.7</v>
      </c>
      <c r="E110" s="119">
        <v>0.7</v>
      </c>
      <c r="F110" s="119">
        <v>0.7</v>
      </c>
      <c r="G110" s="119">
        <v>0.7</v>
      </c>
    </row>
    <row r="111" spans="2:7" ht="29.25" customHeight="1">
      <c r="B111" s="80" t="s">
        <v>472</v>
      </c>
      <c r="C111" s="68">
        <f>C3*C5/100*C108/100*C110*2</f>
        <v>126349.99999999999</v>
      </c>
      <c r="D111" s="68">
        <f>D3*D5/100*D108/100*D110*2</f>
        <v>107100</v>
      </c>
      <c r="E111" s="68">
        <f>E3*E5/100*E108/100*E110*2</f>
        <v>94500</v>
      </c>
      <c r="F111" s="68">
        <f>F3*F5/100*F108/100*F110*2</f>
        <v>81900</v>
      </c>
      <c r="G111" s="68">
        <f>G3*G108/100*G110*2</f>
        <v>70000</v>
      </c>
    </row>
    <row r="112" spans="2:7" ht="32.25" customHeight="1">
      <c r="B112" s="80" t="s">
        <v>162</v>
      </c>
      <c r="C112" s="68">
        <f>C3*C5/100*C108/100*C107/100*C110</f>
        <v>631.75</v>
      </c>
      <c r="D112" s="68">
        <f>D3*D5/100*D108/100*D107/100*D110</f>
        <v>535.5</v>
      </c>
      <c r="E112" s="68">
        <f>E3*E5/100*E108/100*E107/100*E110</f>
        <v>472.49999999999994</v>
      </c>
      <c r="F112" s="68">
        <f>F3*F5/100*F108/100*F107/100*F110</f>
        <v>409.5</v>
      </c>
      <c r="G112" s="68">
        <f>G3*G108/100*G107/100*G110</f>
        <v>350</v>
      </c>
    </row>
    <row r="113" spans="2:7" ht="14.25">
      <c r="B113" s="76" t="s">
        <v>163</v>
      </c>
      <c r="C113" s="119">
        <v>0.5</v>
      </c>
      <c r="D113" s="119">
        <v>0.5</v>
      </c>
      <c r="E113" s="119">
        <v>0.5</v>
      </c>
      <c r="F113" s="119">
        <v>0.5</v>
      </c>
      <c r="G113" s="119">
        <v>0.5</v>
      </c>
    </row>
    <row r="114" spans="2:7" ht="15.75" customHeight="1">
      <c r="B114" s="80" t="s">
        <v>164</v>
      </c>
      <c r="C114" s="68">
        <f>C3*C5/100*C108/100*C107/100*C109/100*C113*3</f>
        <v>1286.0625</v>
      </c>
      <c r="D114" s="68">
        <f>D3*D5/100*D108/100*D107/100*D109/100*D113*3</f>
        <v>975.375</v>
      </c>
      <c r="E114" s="68">
        <f>E3*E5/100*E108/100*E107/100*E109/100*E113*3</f>
        <v>759.375</v>
      </c>
      <c r="F114" s="68">
        <f>F3*F5/100*F108/100*F107/100*F109/100*F113*3</f>
        <v>570.375</v>
      </c>
      <c r="G114" s="68">
        <f>G3*G108/100*G107/100*G109/100*G113*3</f>
        <v>712.5</v>
      </c>
    </row>
    <row r="115" spans="2:7" ht="28.5">
      <c r="B115" s="80" t="s">
        <v>165</v>
      </c>
      <c r="C115" s="68">
        <f>C3*C5/100*C108/100*C107/100*C109/100*C113</f>
        <v>428.6875</v>
      </c>
      <c r="D115" s="68">
        <f>D3*D5/100*D108/100*D107/100*D109/100*D113</f>
        <v>325.125</v>
      </c>
      <c r="E115" s="68">
        <f>E3*E5/100*E108/100*E107/100*E109/100*E113</f>
        <v>253.125</v>
      </c>
      <c r="F115" s="68">
        <f>F3*F5/100*F108/100*F107/100*F109/100*F113</f>
        <v>190.125</v>
      </c>
      <c r="G115" s="68">
        <f>G3*G108/100*G107/100*G109/100*G113</f>
        <v>237.5</v>
      </c>
    </row>
    <row r="116" spans="2:7" ht="28.5">
      <c r="B116" s="274" t="s">
        <v>166</v>
      </c>
      <c r="C116" s="119">
        <v>0.3</v>
      </c>
      <c r="D116" s="119">
        <v>0.3</v>
      </c>
      <c r="E116" s="119">
        <v>0.3</v>
      </c>
      <c r="F116" s="119">
        <v>0.3</v>
      </c>
      <c r="G116" s="119">
        <v>0.3</v>
      </c>
    </row>
    <row r="117" spans="2:7" ht="28.5">
      <c r="B117" s="275" t="s">
        <v>167</v>
      </c>
      <c r="C117" s="68">
        <f>C3*C5/100*C108/100*C107/100*C109/100*C116</f>
        <v>257.2125</v>
      </c>
      <c r="D117" s="68">
        <f>D3*D5/100*D108/100*D107/100*D109/100*D116</f>
        <v>195.075</v>
      </c>
      <c r="E117" s="68">
        <f>E3*E5/100*E108/100*E107/100*E109/100*E116</f>
        <v>151.875</v>
      </c>
      <c r="F117" s="68">
        <f>F3*F5/100*F108/100*F107/100*F109/100*F116</f>
        <v>114.075</v>
      </c>
      <c r="G117" s="68">
        <f>G3*G108/100*G107/100*G109/100*G116</f>
        <v>142.5</v>
      </c>
    </row>
    <row r="118" spans="2:7" ht="28.5">
      <c r="B118" s="76" t="s">
        <v>205</v>
      </c>
      <c r="C118" s="119">
        <v>0.7</v>
      </c>
      <c r="D118" s="119">
        <v>0.7</v>
      </c>
      <c r="E118" s="119">
        <v>0.7</v>
      </c>
      <c r="F118" s="119">
        <v>0.7</v>
      </c>
      <c r="G118" s="119">
        <v>0.7</v>
      </c>
    </row>
    <row r="119" spans="2:7" ht="28.5">
      <c r="B119" s="80" t="s">
        <v>168</v>
      </c>
      <c r="C119" s="68">
        <f>C3*C5/100*C108/100*C107/100*C109/100*C118*3</f>
        <v>1800.4874999999997</v>
      </c>
      <c r="D119" s="68">
        <f>D3*D5/100*D108/100*D107/100*D109/100*D118*3</f>
        <v>1365.5249999999999</v>
      </c>
      <c r="E119" s="68">
        <f>E3*E5/100*E108/100*E107/100*E109/100*E118*3</f>
        <v>1063.125</v>
      </c>
      <c r="F119" s="68">
        <f>F3*F5/100*F108/100*F107/100*F109/100*F118*3</f>
        <v>798.5250000000001</v>
      </c>
      <c r="G119" s="68">
        <f>G3*G108/100*G107/100*G109/100*G118*3</f>
        <v>997.5</v>
      </c>
    </row>
    <row r="120" spans="2:8" ht="13.5" customHeight="1">
      <c r="B120" s="106"/>
      <c r="C120" s="107"/>
      <c r="D120" s="107"/>
      <c r="E120" s="107"/>
      <c r="F120" s="107"/>
      <c r="G120" s="107"/>
      <c r="H120" s="90"/>
    </row>
    <row r="121" spans="2:7" ht="13.5" customHeight="1">
      <c r="B121" s="120" t="s">
        <v>169</v>
      </c>
      <c r="C121" s="121">
        <f>C111+C112+C114+C115+C117+C119</f>
        <v>130754.19999999998</v>
      </c>
      <c r="D121" s="121">
        <f>D111+D112+D114+D115+D117+D119</f>
        <v>110496.59999999999</v>
      </c>
      <c r="E121" s="121">
        <f>E111+E112+E114+E115+E117+E119</f>
        <v>97200</v>
      </c>
      <c r="F121" s="121">
        <f>F111+F112+F114+F115+F117+F119</f>
        <v>83982.59999999999</v>
      </c>
      <c r="G121" s="121">
        <f>G111+G112+G114+G115+G117+G119</f>
        <v>72440</v>
      </c>
    </row>
    <row r="122" spans="2:7" ht="13.5" customHeight="1">
      <c r="B122" s="122"/>
      <c r="C122" s="123"/>
      <c r="D122" s="123"/>
      <c r="E122" s="123"/>
      <c r="F122" s="123"/>
      <c r="G122" s="123"/>
    </row>
    <row r="123" spans="2:7" ht="13.5" customHeight="1">
      <c r="B123" s="124"/>
      <c r="C123" s="125"/>
      <c r="D123" s="125"/>
      <c r="E123" s="125"/>
      <c r="F123" s="125"/>
      <c r="G123" s="125"/>
    </row>
    <row r="124" spans="2:7" ht="13.5" customHeight="1">
      <c r="B124" s="124"/>
      <c r="C124" s="125"/>
      <c r="D124" s="125"/>
      <c r="E124" s="125"/>
      <c r="F124" s="125"/>
      <c r="G124" s="125"/>
    </row>
    <row r="125" spans="1:7" ht="13.5" customHeight="1">
      <c r="A125" s="90"/>
      <c r="B125" s="126" t="s">
        <v>267</v>
      </c>
      <c r="C125" s="127"/>
      <c r="D125" s="127"/>
      <c r="E125" s="127"/>
      <c r="F125" s="127"/>
      <c r="G125" s="127"/>
    </row>
    <row r="126" spans="1:7" ht="18.75" customHeight="1">
      <c r="A126" s="90"/>
      <c r="B126" s="301" t="s">
        <v>86</v>
      </c>
      <c r="C126" s="125"/>
      <c r="D126" s="125"/>
      <c r="E126" s="395" t="s">
        <v>458</v>
      </c>
      <c r="F126" s="395"/>
      <c r="G126" s="125"/>
    </row>
    <row r="127" spans="1:7" ht="13.5" customHeight="1">
      <c r="A127" s="90"/>
      <c r="B127" s="138" t="s">
        <v>44</v>
      </c>
      <c r="C127" s="94">
        <v>0.14</v>
      </c>
      <c r="D127" s="128"/>
      <c r="E127" s="95" t="s">
        <v>390</v>
      </c>
      <c r="F127" s="94">
        <v>5</v>
      </c>
      <c r="G127" s="125"/>
    </row>
    <row r="128" spans="1:7" ht="13.5" customHeight="1">
      <c r="A128" s="90"/>
      <c r="B128" s="305" t="s">
        <v>38</v>
      </c>
      <c r="C128" s="94">
        <v>0.18</v>
      </c>
      <c r="D128" s="128"/>
      <c r="E128" s="95" t="s">
        <v>28</v>
      </c>
      <c r="F128" s="94">
        <v>20</v>
      </c>
      <c r="G128" s="125"/>
    </row>
    <row r="129" spans="1:7" ht="13.5" customHeight="1">
      <c r="A129" s="90"/>
      <c r="B129" s="305" t="s">
        <v>45</v>
      </c>
      <c r="C129" s="94">
        <v>0.05</v>
      </c>
      <c r="D129" s="128"/>
      <c r="E129" s="128"/>
      <c r="F129" s="125"/>
      <c r="G129" s="125"/>
    </row>
    <row r="130" spans="1:7" ht="13.5" customHeight="1">
      <c r="A130" s="90"/>
      <c r="B130" s="305" t="s">
        <v>37</v>
      </c>
      <c r="C130" s="94">
        <v>0.14</v>
      </c>
      <c r="D130" s="128"/>
      <c r="E130" s="128"/>
      <c r="F130" s="125"/>
      <c r="G130" s="125"/>
    </row>
    <row r="131" spans="1:7" ht="13.5" customHeight="1">
      <c r="A131" s="90"/>
      <c r="B131" s="305" t="s">
        <v>20</v>
      </c>
      <c r="C131" s="94">
        <v>0.27</v>
      </c>
      <c r="D131" s="128"/>
      <c r="E131" s="128"/>
      <c r="F131" s="125"/>
      <c r="G131" s="125"/>
    </row>
    <row r="132" spans="1:7" ht="13.5" customHeight="1">
      <c r="A132" s="90"/>
      <c r="B132" s="305" t="s">
        <v>47</v>
      </c>
      <c r="C132" s="94">
        <v>0.15</v>
      </c>
      <c r="D132" s="128"/>
      <c r="E132" s="128"/>
      <c r="F132" s="125"/>
      <c r="G132" s="125"/>
    </row>
    <row r="133" spans="1:7" ht="13.5" customHeight="1">
      <c r="A133" s="90"/>
      <c r="B133" s="305" t="s">
        <v>48</v>
      </c>
      <c r="C133" s="94">
        <v>0.06</v>
      </c>
      <c r="D133" s="128"/>
      <c r="E133" s="128"/>
      <c r="F133" s="125"/>
      <c r="G133" s="125"/>
    </row>
    <row r="134" spans="1:7" ht="13.5" customHeight="1">
      <c r="A134" s="90"/>
      <c r="B134" s="124"/>
      <c r="C134" s="125"/>
      <c r="D134" s="125"/>
      <c r="E134" s="125"/>
      <c r="F134" s="125"/>
      <c r="G134" s="125"/>
    </row>
    <row r="135" spans="1:7" ht="13.5" customHeight="1">
      <c r="A135" s="90"/>
      <c r="B135" s="129" t="s">
        <v>225</v>
      </c>
      <c r="C135" s="130"/>
      <c r="D135" s="130"/>
      <c r="E135" s="130"/>
      <c r="F135" s="130"/>
      <c r="G135" s="130"/>
    </row>
    <row r="136" spans="1:7" ht="14.25">
      <c r="A136" s="90"/>
      <c r="B136" s="237" t="s">
        <v>147</v>
      </c>
      <c r="C136" s="231">
        <f>C92</f>
        <v>40</v>
      </c>
      <c r="D136" s="231">
        <f>D92</f>
        <v>40</v>
      </c>
      <c r="E136" s="231">
        <f>E92</f>
        <v>40</v>
      </c>
      <c r="F136" s="231">
        <f>F92</f>
        <v>40</v>
      </c>
      <c r="G136" s="231">
        <f>G92</f>
        <v>40</v>
      </c>
    </row>
    <row r="137" spans="1:7" ht="28.5">
      <c r="A137" s="90"/>
      <c r="B137" s="80" t="s">
        <v>171</v>
      </c>
      <c r="C137" s="302">
        <f>(C14-C15)*C136+(C18+C20)*C136</f>
        <v>3498.5779</v>
      </c>
      <c r="D137" s="302">
        <f>(D14-D15)*D136+(D18+D20)*D136</f>
        <v>8737.056199999999</v>
      </c>
      <c r="E137" s="302">
        <f>(E14-E15)*E136+(E18+E20)*E136</f>
        <v>12621.485</v>
      </c>
      <c r="F137" s="302">
        <f>(F14-F15)*F136+(F18+F20)*F136</f>
        <v>16020.3602</v>
      </c>
      <c r="G137" s="302">
        <f>(G14-G15)*G136+(G18+G20)*G136</f>
        <v>16185.12</v>
      </c>
    </row>
    <row r="138" spans="2:7" ht="14.25">
      <c r="B138" s="80" t="s">
        <v>172</v>
      </c>
      <c r="C138" s="303">
        <f>C34</f>
        <v>10</v>
      </c>
      <c r="D138" s="303">
        <f>D34</f>
        <v>10</v>
      </c>
      <c r="E138" s="303">
        <f>E34</f>
        <v>10</v>
      </c>
      <c r="F138" s="303">
        <f>F34</f>
        <v>10</v>
      </c>
      <c r="G138" s="303">
        <f>G34</f>
        <v>10</v>
      </c>
    </row>
    <row r="139" spans="2:7" ht="14.25">
      <c r="B139" s="80" t="s">
        <v>173</v>
      </c>
      <c r="C139" s="303">
        <f>C36</f>
        <v>40</v>
      </c>
      <c r="D139" s="303">
        <f>D36</f>
        <v>40</v>
      </c>
      <c r="E139" s="303">
        <f>E36</f>
        <v>40</v>
      </c>
      <c r="F139" s="303">
        <f>F36</f>
        <v>40</v>
      </c>
      <c r="G139" s="303">
        <f>G36</f>
        <v>40</v>
      </c>
    </row>
    <row r="140" spans="2:7" s="72" customFormat="1" ht="14.25">
      <c r="B140" s="80" t="s">
        <v>174</v>
      </c>
      <c r="C140" s="303">
        <f>C21*(C138+C139)</f>
        <v>1176.2848750000003</v>
      </c>
      <c r="D140" s="303">
        <f>D21*(D138+D139)</f>
        <v>2442.69525</v>
      </c>
      <c r="E140" s="303">
        <f>E21*(E138+E139)</f>
        <v>3626.23125</v>
      </c>
      <c r="F140" s="303">
        <f>F21*(F138+F139)</f>
        <v>4661.82525</v>
      </c>
      <c r="G140" s="303">
        <f>G21*(G138+G139)</f>
        <v>5371.400000000001</v>
      </c>
    </row>
    <row r="141" spans="2:7" s="72" customFormat="1" ht="14.25">
      <c r="B141" s="80" t="s">
        <v>175</v>
      </c>
      <c r="C141" s="303">
        <f>C95</f>
        <v>16</v>
      </c>
      <c r="D141" s="303">
        <f>D95</f>
        <v>16</v>
      </c>
      <c r="E141" s="303">
        <f>E95</f>
        <v>16</v>
      </c>
      <c r="F141" s="303">
        <f>F95</f>
        <v>16</v>
      </c>
      <c r="G141" s="303">
        <f>G95</f>
        <v>16</v>
      </c>
    </row>
    <row r="142" spans="2:7" s="72" customFormat="1" ht="14.25">
      <c r="B142" s="80" t="s">
        <v>176</v>
      </c>
      <c r="C142" s="303">
        <f>C141*C21</f>
        <v>376.4111600000001</v>
      </c>
      <c r="D142" s="303">
        <f>D141*D21</f>
        <v>781.6624800000001</v>
      </c>
      <c r="E142" s="303">
        <f>E141*E21</f>
        <v>1160.394</v>
      </c>
      <c r="F142" s="303">
        <f>F141*F21</f>
        <v>1491.78408</v>
      </c>
      <c r="G142" s="303">
        <f>G141*G21</f>
        <v>1718.8480000000002</v>
      </c>
    </row>
    <row r="143" spans="1:7" s="72" customFormat="1" ht="13.5" customHeight="1">
      <c r="A143" s="100"/>
      <c r="B143" s="91"/>
      <c r="C143" s="92"/>
      <c r="D143" s="92"/>
      <c r="E143" s="92"/>
      <c r="F143" s="92"/>
      <c r="G143" s="92"/>
    </row>
    <row r="144" spans="1:7" s="72" customFormat="1" ht="13.5" customHeight="1">
      <c r="A144" s="100"/>
      <c r="B144" s="131" t="s">
        <v>269</v>
      </c>
      <c r="C144" s="78"/>
      <c r="D144" s="78"/>
      <c r="E144" s="78"/>
      <c r="F144" s="78"/>
      <c r="G144" s="78"/>
    </row>
    <row r="145" spans="1:7" s="72" customFormat="1" ht="15" customHeight="1">
      <c r="A145" s="100"/>
      <c r="B145" s="391" t="s">
        <v>80</v>
      </c>
      <c r="C145" s="391"/>
      <c r="D145" s="391"/>
      <c r="E145" s="101"/>
      <c r="F145" s="101"/>
      <c r="G145" s="101"/>
    </row>
    <row r="146" spans="1:7" s="72" customFormat="1" ht="13.5" customHeight="1">
      <c r="A146" s="100"/>
      <c r="B146" s="132" t="s">
        <v>270</v>
      </c>
      <c r="C146" s="341">
        <f>C15*C53/100*C54/100*C12/100</f>
        <v>3.4295</v>
      </c>
      <c r="D146" s="230">
        <f>D15*D53/100*D54/100*D12/100</f>
        <v>2.6010000000000004</v>
      </c>
      <c r="E146" s="230">
        <f>E15*E53/100*E54/100*E12/100</f>
        <v>2.025</v>
      </c>
      <c r="F146" s="230">
        <f>F15*F53/100*F54/100*F12/100</f>
        <v>1.521</v>
      </c>
      <c r="G146" s="230">
        <f>G15*G53/100*G54/100*G12/100</f>
        <v>1.6</v>
      </c>
    </row>
    <row r="147" spans="1:7" s="72" customFormat="1" ht="13.5" customHeight="1">
      <c r="A147" s="100"/>
      <c r="B147" s="132" t="s">
        <v>280</v>
      </c>
      <c r="C147" s="302">
        <f>'8. Costos medic. VIH pediátrico'!$W$17+'8. Costos medic. VIH pediátrico'!$W$18</f>
        <v>5648.58</v>
      </c>
      <c r="D147" s="302">
        <f>'8. Costos medic. VIH pediátrico'!$W$17+'8. Costos medic. VIH pediátrico'!$W$18</f>
        <v>5648.58</v>
      </c>
      <c r="E147" s="302">
        <f>'8. Costos medic. VIH pediátrico'!$W$17+'8. Costos medic. VIH pediátrico'!$W$18</f>
        <v>5648.58</v>
      </c>
      <c r="F147" s="302">
        <f>'8. Costos medic. VIH pediátrico'!$W$17+'8. Costos medic. VIH pediátrico'!$W$18</f>
        <v>5648.58</v>
      </c>
      <c r="G147" s="302">
        <f>'8. Costos medic. VIH pediátrico'!$W$17+'8. Costos medic. VIH pediátrico'!$W$18</f>
        <v>5648.58</v>
      </c>
    </row>
    <row r="148" spans="1:7" s="72" customFormat="1" ht="13.5" customHeight="1">
      <c r="A148" s="100"/>
      <c r="B148" s="133" t="s">
        <v>271</v>
      </c>
      <c r="C148" s="134">
        <f>'8. Costos medic. VIH pediátrico'!M25</f>
        <v>15564.691576914978</v>
      </c>
      <c r="D148" s="134">
        <f>'8. Costos medic. VIH pediátrico'!M33</f>
        <v>11804.567077287029</v>
      </c>
      <c r="E148" s="134">
        <f>'8. Costos medic. VIH pediátrico'!M41</f>
        <v>9190.406894081596</v>
      </c>
      <c r="F148" s="134">
        <f>'8. Costos medic. VIH pediátrico'!M49</f>
        <v>6903.016733776842</v>
      </c>
      <c r="G148" s="134">
        <f>'8. Costos medic. VIH pediátrico'!M57</f>
        <v>7261.5560644595325</v>
      </c>
    </row>
    <row r="149" spans="2:7" s="100" customFormat="1" ht="13.5" customHeight="1">
      <c r="B149" s="96"/>
      <c r="C149" s="135"/>
      <c r="D149" s="135"/>
      <c r="E149" s="136"/>
      <c r="F149" s="136"/>
      <c r="G149" s="136"/>
    </row>
    <row r="150" spans="1:7" s="72" customFormat="1" ht="13.5" customHeight="1">
      <c r="A150" s="100"/>
      <c r="B150" s="391" t="s">
        <v>81</v>
      </c>
      <c r="C150" s="391"/>
      <c r="D150" s="391"/>
      <c r="E150" s="101"/>
      <c r="F150" s="101"/>
      <c r="G150" s="101"/>
    </row>
    <row r="151" spans="1:7" s="72" customFormat="1" ht="42.75">
      <c r="A151" s="100"/>
      <c r="B151" s="95" t="s">
        <v>405</v>
      </c>
      <c r="C151" s="94">
        <v>1</v>
      </c>
      <c r="D151" s="94">
        <v>1</v>
      </c>
      <c r="E151" s="94">
        <v>1</v>
      </c>
      <c r="F151" s="94">
        <v>1</v>
      </c>
      <c r="G151" s="94">
        <v>1</v>
      </c>
    </row>
    <row r="152" spans="1:7" s="72" customFormat="1" ht="13.5" customHeight="1">
      <c r="A152" s="100"/>
      <c r="B152" s="132" t="s">
        <v>406</v>
      </c>
      <c r="C152" s="293">
        <f>(C15*C53/100*C55/100*C12/100)+(C15*C65/100*C12/100)</f>
        <v>5.1442499999999995</v>
      </c>
      <c r="D152" s="293">
        <f>(D15*D53/100*D55/100*D12/100)+(D15*D65/100*D12/100)</f>
        <v>3.9015</v>
      </c>
      <c r="E152" s="293">
        <f>(E15*E53/100*E55/100*E12/100)+(E15*E65/100*E12/100)</f>
        <v>3.0375</v>
      </c>
      <c r="F152" s="293">
        <f>(F15*F53/100*F55/100*F12/100)+(F15*F65/100*F12/100)</f>
        <v>2.2815</v>
      </c>
      <c r="G152" s="293">
        <f>(G15*G53/100*G55/100*G12/100)+(G15*G65/100*G12/100)</f>
        <v>2.4</v>
      </c>
    </row>
    <row r="153" spans="1:7" s="72" customFormat="1" ht="13.5" customHeight="1">
      <c r="A153" s="100"/>
      <c r="B153" s="132" t="s">
        <v>280</v>
      </c>
      <c r="C153" s="229">
        <f>IF(C151=1,'8. Costos medic. VIH pediátrico'!$W$14,'8. Costos medic. VIH pediátrico'!$W$17+'8. Costos medic. VIH pediátrico'!$W$18)</f>
        <v>2945.88</v>
      </c>
      <c r="D153" s="229">
        <f>IF(D151=1,'8. Costos medic. VIH pediátrico'!$W$14,'8. Costos medic. VIH pediátrico'!$W$17+'8. Costos medic. VIH pediátrico'!$W$18)</f>
        <v>2945.88</v>
      </c>
      <c r="E153" s="229">
        <f>IF(E151=1,'8. Costos medic. VIH pediátrico'!$W$14,'8. Costos medic. VIH pediátrico'!$W$17+'8. Costos medic. VIH pediátrico'!$W$18)</f>
        <v>2945.88</v>
      </c>
      <c r="F153" s="229">
        <f>IF(F151=1,'8. Costos medic. VIH pediátrico'!$W$14,'8. Costos medic. VIH pediátrico'!$W$17+'8. Costos medic. VIH pediátrico'!$W$18)</f>
        <v>2945.88</v>
      </c>
      <c r="G153" s="229">
        <f>IF(G151=1,'8. Costos medic. VIH pediátrico'!$W$14,'8. Costos medic. VIH pediátrico'!$W$17+'8. Costos medic. VIH pediátrico'!$W$18)</f>
        <v>2945.88</v>
      </c>
    </row>
    <row r="154" spans="1:7" s="72" customFormat="1" ht="13.5" customHeight="1">
      <c r="A154" s="100"/>
      <c r="B154" s="133" t="s">
        <v>271</v>
      </c>
      <c r="C154" s="134">
        <f>IF(C151=1,'8. Costos medic. VIH pediátrico'!M26,'8. Costos medic. VIH pediátrico'!M27)</f>
        <v>12681.055959377387</v>
      </c>
      <c r="D154" s="134">
        <f>IF(D151=1,'8. Costos medic. VIH pediátrico'!M34,'8. Costos medic. VIH pediátrico'!M35)</f>
        <v>9617.56132099157</v>
      </c>
      <c r="E154" s="134">
        <f>IF(E151=1,'8. Costos medic. VIH pediátrico'!M42,'8. Costos medic. VIH pediátrico'!M43)</f>
        <v>7487.720751637035</v>
      </c>
      <c r="F154" s="134">
        <f>IF(F151=1,'8. Costos medic. VIH pediátrico'!M50,'8. Costos medic. VIH pediátrico'!M51)</f>
        <v>5624.110253451818</v>
      </c>
      <c r="G154" s="134">
        <f>IF(G151=1,'8. Costos medic. VIH pediátrico'!M58,'8. Costos medic. VIH pediátrico'!M59)</f>
        <v>5916.223803762596</v>
      </c>
    </row>
    <row r="155" spans="1:7" s="72" customFormat="1" ht="13.5" customHeight="1">
      <c r="A155" s="100"/>
      <c r="B155" s="137"/>
      <c r="C155" s="137"/>
      <c r="D155" s="137"/>
      <c r="E155" s="78"/>
      <c r="F155" s="78"/>
      <c r="G155" s="78"/>
    </row>
    <row r="156" spans="1:7" s="72" customFormat="1" ht="13.5" customHeight="1">
      <c r="A156" s="100"/>
      <c r="B156" s="137" t="s">
        <v>276</v>
      </c>
      <c r="C156" s="137"/>
      <c r="D156" s="137"/>
      <c r="E156" s="78"/>
      <c r="F156" s="78"/>
      <c r="G156" s="78"/>
    </row>
    <row r="157" spans="1:7" s="72" customFormat="1" ht="57">
      <c r="A157" s="100"/>
      <c r="B157" s="95" t="s">
        <v>387</v>
      </c>
      <c r="C157" s="94">
        <v>1</v>
      </c>
      <c r="D157" s="94">
        <v>1</v>
      </c>
      <c r="E157" s="94">
        <v>1</v>
      </c>
      <c r="F157" s="94">
        <v>1</v>
      </c>
      <c r="G157" s="94">
        <v>1</v>
      </c>
    </row>
    <row r="158" spans="1:7" s="72" customFormat="1" ht="24.75" customHeight="1">
      <c r="A158" s="100"/>
      <c r="B158" s="132" t="s">
        <v>277</v>
      </c>
      <c r="C158" s="228">
        <f>C18+C20</f>
        <v>16.15194750000001</v>
      </c>
      <c r="D158" s="228">
        <f>D18+D20</f>
        <v>43.551405</v>
      </c>
      <c r="E158" s="228">
        <f>E18+E20</f>
        <v>68.662125</v>
      </c>
      <c r="F158" s="228">
        <f>F18+F20</f>
        <v>90.634005</v>
      </c>
      <c r="G158" s="228">
        <f>G18+G20</f>
        <v>104.62800000000001</v>
      </c>
    </row>
    <row r="159" spans="1:7" s="72" customFormat="1" ht="13.5" customHeight="1">
      <c r="A159" s="100"/>
      <c r="B159" s="132" t="s">
        <v>280</v>
      </c>
      <c r="C159" s="229">
        <f>IF(C157=1,'8. Costos medic. VIH pediátrico'!$W$14,IF(C157=2,'8. Costos medic. VIH pediátrico'!$W$15+'8. Costos medic. VIH pediátrico'!$W$16,IF(C157=3,'8. Costos medic. VIH pediátrico'!$W$17+'8. Costos medic. VIH pediátrico'!$W$18)))</f>
        <v>2945.88</v>
      </c>
      <c r="D159" s="229">
        <f>IF(D157=1,'8. Costos medic. VIH pediátrico'!$W$14,IF(D157=2,'8. Costos medic. VIH pediátrico'!$W$15+'8. Costos medic. VIH pediátrico'!$W$16,IF(D157=3,'8. Costos medic. VIH pediátrico'!$W$17+'8. Costos medic. VIH pediátrico'!$W$18)))</f>
        <v>2945.88</v>
      </c>
      <c r="E159" s="229">
        <f>IF(E157=1,'8. Costos medic. VIH pediátrico'!$W$14,IF(E157=2,'8. Costos medic. VIH pediátrico'!$W$15+'8. Costos medic. VIH pediátrico'!$W$16,IF(E157=3,'8. Costos medic. VIH pediátrico'!$W$17+'8. Costos medic. VIH pediátrico'!$W$18)))</f>
        <v>2945.88</v>
      </c>
      <c r="F159" s="229">
        <f>IF(F157=1,'8. Costos medic. VIH pediátrico'!$W$14,IF(F157=2,'8. Costos medic. VIH pediátrico'!$W$15+'8. Costos medic. VIH pediátrico'!$W$16,IF(F157=3,'8. Costos medic. VIH pediátrico'!$W$17+'8. Costos medic. VIH pediátrico'!$W$18)))</f>
        <v>2945.88</v>
      </c>
      <c r="G159" s="229">
        <f>IF(G157=1,'8. Costos medic. VIH pediátrico'!$W$14,IF(G157=2,'8. Costos medic. VIH pediátrico'!$W$15+'8. Costos medic. VIH pediátrico'!$W$16,IF(G157=3,'8. Costos medic. VIH pediátrico'!$W$17+'8. Costos medic. VIH pediátrico'!$W$18)))</f>
        <v>2945.88</v>
      </c>
    </row>
    <row r="160" spans="1:7" s="72" customFormat="1" ht="13.5" customHeight="1">
      <c r="A160" s="100"/>
      <c r="B160" s="133" t="s">
        <v>271</v>
      </c>
      <c r="C160" s="134">
        <f>IF(C157=1,'8. Costos medic. VIH pediátrico'!$M28,IF(C157=2,'8. Costos medic. VIH pediátrico'!$M29,IF(C157=3,'8. Costos medic. VIH pediátrico'!$M30)))</f>
        <v>39816.056781926585</v>
      </c>
      <c r="D160" s="134">
        <f>IF(D157=1,'8. Costos medic. VIH pediátrico'!$M36,IF(D157=2,'8. Costos medic. VIH pediátrico'!$M37,IF(D157=3,'8. Costos medic. VIH pediátrico'!$M38)))</f>
        <v>107358.27456179389</v>
      </c>
      <c r="E160" s="134">
        <f>IF(E157=1,'8. Costos medic. VIH pediátrico'!$M44,IF(E157=2,'8. Costos medic. VIH pediátrico'!$M45,IF(E157=3,'8. Costos medic. VIH pediátrico'!$M46)))</f>
        <v>169258.54097580118</v>
      </c>
      <c r="F160" s="134">
        <f>IF(F157=1,'8. Costos medic. VIH pediátrico'!$M52,IF(F157=2,'8. Costos medic. VIH pediátrico'!$M53,IF(F157=3,'8. Costos medic. VIH pediátrico'!$M54)))</f>
        <v>223421.27408805757</v>
      </c>
      <c r="G160" s="134">
        <f>IF(G157=1,'8. Costos medic. VIH pediátrico'!$M60,IF(G157=2,'8. Costos medic. VIH pediátrico'!$M61,IF(G157=3,'8. Costos medic. VIH pediátrico'!$M62)))</f>
        <v>257917.77672503045</v>
      </c>
    </row>
    <row r="161" spans="1:7" s="72" customFormat="1" ht="13.5" customHeight="1">
      <c r="A161" s="100"/>
      <c r="B161" s="137"/>
      <c r="C161" s="137"/>
      <c r="D161" s="137"/>
      <c r="E161" s="78"/>
      <c r="F161" s="78"/>
      <c r="G161" s="78"/>
    </row>
    <row r="162" spans="1:7" s="72" customFormat="1" ht="13.5" customHeight="1">
      <c r="A162" s="100"/>
      <c r="B162" s="131" t="s">
        <v>278</v>
      </c>
      <c r="C162" s="78"/>
      <c r="D162" s="78"/>
      <c r="E162" s="78"/>
      <c r="F162" s="78"/>
      <c r="G162" s="78"/>
    </row>
    <row r="163" spans="2:7" s="72" customFormat="1" ht="28.5">
      <c r="B163" s="274" t="s">
        <v>285</v>
      </c>
      <c r="C163" s="77">
        <v>50</v>
      </c>
      <c r="D163" s="77">
        <v>50</v>
      </c>
      <c r="E163" s="77">
        <v>50</v>
      </c>
      <c r="F163" s="77">
        <v>50</v>
      </c>
      <c r="G163" s="77">
        <v>50</v>
      </c>
    </row>
    <row r="164" spans="2:7" s="72" customFormat="1" ht="29.25" customHeight="1">
      <c r="B164" s="81" t="s">
        <v>114</v>
      </c>
      <c r="C164" s="215">
        <f>(C16*C163/5+C16*C163/5/1.03+C16*C163/5/1.03^2+C16*C163/5/1.03^3+C16*C163/5/1.03^4)+((C18+C20)*0.5*C163/5+(C18+C20)*0.7*C163/5/1.03+(C18+C20)*C163/5/1.03^2+(C18+C20)*C163/5/1.03^3+(C18+C20)*C163/5/1.03^4)</f>
        <v>981.9260562409463</v>
      </c>
      <c r="D164" s="215">
        <f>(D16*D163/5+D16*D163/5/1.03+D16*D163/5/1.03^2+D16*D163/5/1.03^3+D16*D163/5/1.03^4)+((D18+D20)*0.5*D163/5+(D18+D20)*0.7*D163/5/1.03+(D18+D20)*D163/5/1.03^2+(D18+D20)*D163/5/1.03^3+(D18+D20)*D163/5/1.03^4)</f>
        <v>1959.880995038311</v>
      </c>
      <c r="E164" s="215">
        <f>(E16*E163/5+E16*E163/5/1.03+E16*E163/5/1.03^2+E16*E163/5/1.03^3+E16*E163/5/1.03^4)+((E18+E20)*0.5*E163/5+(E18+E20)*0.7*E163/5/1.03+(E18+E20)*E163/5/1.03^2+(E18+E20)*E163/5/1.03^3+(E18+E20)*E163/5/1.03^4)</f>
        <v>2877.7605306745504</v>
      </c>
      <c r="F164" s="215">
        <f>(F16*F163/5+F16*F163/5/1.03+F16*F163/5/1.03^2+F16*F163/5/1.03^3+F16*F163/5/1.03^4)+((F18+F20)*0.5*F163/5+(F18+F20)*0.7*F163/5/1.03+(F18+F20)*F163/5/1.03^2+(F18+F20)*F163/5/1.03^3+(F18+F20)*F163/5/1.03^4)</f>
        <v>3680.9051243562594</v>
      </c>
      <c r="G164" s="215">
        <f>(G16*G163/5+G16*G163/5/1.03+G16*G163/5/1.03^2+G16*G163/5/1.03^3+G16*G163/5/1.03^4)+((G18+G20)*0.5*G163/5+(G18+G20)*0.7*G163/5/1.03+(G18+G20)*G163/5/1.03^2+(G18+G20)*G163/5/1.03^3+(G18+G20)*G163/5/1.03^4)</f>
        <v>4239.6027245983105</v>
      </c>
    </row>
    <row r="165" spans="2:7" s="72" customFormat="1" ht="13.5" customHeight="1">
      <c r="B165" s="76" t="s">
        <v>281</v>
      </c>
      <c r="C165" s="77">
        <v>10</v>
      </c>
      <c r="D165" s="77">
        <v>10</v>
      </c>
      <c r="E165" s="77">
        <v>10</v>
      </c>
      <c r="F165" s="77">
        <v>10</v>
      </c>
      <c r="G165" s="77">
        <v>10</v>
      </c>
    </row>
    <row r="166" spans="2:7" s="87" customFormat="1" ht="13.5" customHeight="1">
      <c r="B166" s="111" t="s">
        <v>407</v>
      </c>
      <c r="C166" s="112">
        <v>5</v>
      </c>
      <c r="D166" s="112">
        <v>5</v>
      </c>
      <c r="E166" s="112">
        <v>5</v>
      </c>
      <c r="F166" s="112">
        <v>5</v>
      </c>
      <c r="G166" s="112">
        <v>5</v>
      </c>
    </row>
    <row r="167" spans="2:7" s="87" customFormat="1" ht="13.5" customHeight="1">
      <c r="B167" s="82" t="s">
        <v>286</v>
      </c>
      <c r="C167" s="227">
        <f>C165*C166</f>
        <v>50</v>
      </c>
      <c r="D167" s="227">
        <f>D165*D166</f>
        <v>50</v>
      </c>
      <c r="E167" s="227">
        <f>E165*E166</f>
        <v>50</v>
      </c>
      <c r="F167" s="227">
        <f>F165*F166</f>
        <v>50</v>
      </c>
      <c r="G167" s="227">
        <f>G165*G166</f>
        <v>50</v>
      </c>
    </row>
    <row r="168" spans="2:7" s="72" customFormat="1" ht="14.25">
      <c r="B168" s="81" t="s">
        <v>287</v>
      </c>
      <c r="C168" s="139">
        <f>C165*C166*(C16*20+(C18+C20)*(0.5*20+0.2*19+0.3*16))</f>
        <v>22395.061175000013</v>
      </c>
      <c r="D168" s="139">
        <f>D165*D166*(D16*20+(D18+D20)*(0.5*20+0.2*19+0.3*16))</f>
        <v>45805.30665000001</v>
      </c>
      <c r="E168" s="139">
        <f>E165*E166*(E16*20+(E18+E20)*(0.5*20+0.2*19+0.3*16))</f>
        <v>67718.27625000001</v>
      </c>
      <c r="F168" s="139">
        <f>F165*F166*(F16*20+(F18+F20)*(0.5*20+0.2*19+0.3*16))</f>
        <v>86892.12465000001</v>
      </c>
      <c r="G168" s="139">
        <f>G165*G166*(G16*20+(G18+G20)*(0.5*20+0.2*19+0.3*16))</f>
        <v>100104.04000000002</v>
      </c>
    </row>
    <row r="169" spans="2:7" s="72" customFormat="1" ht="14.25">
      <c r="B169" s="76" t="s">
        <v>279</v>
      </c>
      <c r="C169" s="77">
        <v>190</v>
      </c>
      <c r="D169" s="77">
        <v>190</v>
      </c>
      <c r="E169" s="77">
        <v>190</v>
      </c>
      <c r="F169" s="77">
        <v>190</v>
      </c>
      <c r="G169" s="77">
        <v>190</v>
      </c>
    </row>
    <row r="170" spans="2:7" s="72" customFormat="1" ht="14.25">
      <c r="B170" s="81" t="s">
        <v>282</v>
      </c>
      <c r="C170" s="89">
        <f>C169*((C16*20)+(C18+C20)*(0.5*20+0.2*19+0.3*16))</f>
        <v>85101.23246500005</v>
      </c>
      <c r="D170" s="89">
        <f>D169*((D16*20)+(D18+D20)*(0.5*20+0.2*19+0.3*16))</f>
        <v>174060.16527000006</v>
      </c>
      <c r="E170" s="89">
        <f>E169*((E16*20)+(E18+E20)*(0.5*20+0.2*19+0.3*16))</f>
        <v>257329.44975000003</v>
      </c>
      <c r="F170" s="89">
        <f>F169*((F16*20)+(F18+F20)*(0.5*20+0.2*19+0.3*16))</f>
        <v>330190.07367</v>
      </c>
      <c r="G170" s="89">
        <f>G169*((G16*20)+(G18+G20)*(0.5*20+0.2*19+0.3*16))</f>
        <v>380395.3520000001</v>
      </c>
    </row>
    <row r="171" spans="1:7" s="72" customFormat="1" ht="13.5" customHeight="1">
      <c r="A171" s="100"/>
      <c r="B171" s="91"/>
      <c r="C171" s="92"/>
      <c r="D171" s="92"/>
      <c r="E171" s="92"/>
      <c r="F171" s="92"/>
      <c r="G171" s="92"/>
    </row>
    <row r="172" spans="1:7" s="72" customFormat="1" ht="13.5" customHeight="1">
      <c r="A172" s="100"/>
      <c r="B172" s="140" t="s">
        <v>59</v>
      </c>
      <c r="C172" s="101"/>
      <c r="D172" s="101"/>
      <c r="E172" s="101"/>
      <c r="F172" s="101"/>
      <c r="G172" s="101"/>
    </row>
    <row r="173" spans="2:7" s="72" customFormat="1" ht="29.25" customHeight="1">
      <c r="B173" s="76" t="s">
        <v>415</v>
      </c>
      <c r="C173" s="77">
        <v>2</v>
      </c>
      <c r="D173" s="77">
        <v>2</v>
      </c>
      <c r="E173" s="77">
        <v>2</v>
      </c>
      <c r="F173" s="77">
        <v>2</v>
      </c>
      <c r="G173" s="77">
        <v>2</v>
      </c>
    </row>
    <row r="174" spans="2:7" s="72" customFormat="1" ht="28.5" customHeight="1">
      <c r="B174" s="76" t="s">
        <v>211</v>
      </c>
      <c r="C174" s="77">
        <v>400</v>
      </c>
      <c r="D174" s="77">
        <v>400</v>
      </c>
      <c r="E174" s="77">
        <v>400</v>
      </c>
      <c r="F174" s="77">
        <v>400</v>
      </c>
      <c r="G174" s="77">
        <v>400</v>
      </c>
    </row>
    <row r="175" spans="2:7" s="72" customFormat="1" ht="14.25">
      <c r="B175" s="81" t="s">
        <v>178</v>
      </c>
      <c r="C175" s="355">
        <f>1/C173*100</f>
        <v>50</v>
      </c>
      <c r="D175" s="355">
        <f>1/D173*100</f>
        <v>50</v>
      </c>
      <c r="E175" s="355">
        <f>1/E173*100</f>
        <v>50</v>
      </c>
      <c r="F175" s="355">
        <f>1/F173*100</f>
        <v>50</v>
      </c>
      <c r="G175" s="355">
        <f>1/G173*100</f>
        <v>50</v>
      </c>
    </row>
    <row r="176" spans="2:7" s="72" customFormat="1" ht="14.25">
      <c r="B176" s="81" t="s">
        <v>179</v>
      </c>
      <c r="C176" s="356">
        <f>C21*C173/100*(C175-1)*C175/2*C174+C21*(15-C175)*C174</f>
        <v>-98807.92950000006</v>
      </c>
      <c r="D176" s="356">
        <f>D21*D173/100*(D175-1)*D175/2*D174+D21*(15-D175)*D174</f>
        <v>-205186.401</v>
      </c>
      <c r="E176" s="356">
        <f>E21*E173/100*(E175-1)*E175/2*E174+E21*(15-E175)*E174</f>
        <v>-304603.42499999993</v>
      </c>
      <c r="F176" s="356">
        <f>F21*F173/100*(F175-1)*F175/2*F174+F21*(15-F175)*F174</f>
        <v>-391593.321</v>
      </c>
      <c r="G176" s="356">
        <f>G21*G173/100*(G175-1)*G175/2*G174+G21*(15-G175)*G174</f>
        <v>-451197.6000000001</v>
      </c>
    </row>
    <row r="177" spans="2:7" s="72" customFormat="1" ht="28.5">
      <c r="B177" s="81" t="s">
        <v>180</v>
      </c>
      <c r="C177" s="357">
        <f>C21*C173/100*(15-1)*15/2*C174</f>
        <v>19761.585900000005</v>
      </c>
      <c r="D177" s="357">
        <f>D21*D173/100*(15-1)*15/2*D174</f>
        <v>41037.2802</v>
      </c>
      <c r="E177" s="357">
        <f>E21*E173/100*(15-1)*15/2*E174</f>
        <v>60920.685000000005</v>
      </c>
      <c r="F177" s="357">
        <f>F21*F173/100*(15-1)*15/2*F174</f>
        <v>78318.6642</v>
      </c>
      <c r="G177" s="357">
        <f>G21*G173/100*(15-1)*15/2*G174</f>
        <v>90239.52000000002</v>
      </c>
    </row>
    <row r="178" spans="2:7" s="72" customFormat="1" ht="18" customHeight="1">
      <c r="B178" s="98" t="s">
        <v>177</v>
      </c>
      <c r="C178" s="354">
        <f>IF(C175&lt;15,C176,C177)</f>
        <v>19761.585900000005</v>
      </c>
      <c r="D178" s="354">
        <f>IF(D175&lt;15,D176,D177)</f>
        <v>41037.2802</v>
      </c>
      <c r="E178" s="354">
        <f>IF(E175&lt;15,E176,E177)</f>
        <v>60920.685000000005</v>
      </c>
      <c r="F178" s="354">
        <f>IF(F175&lt;15,F176,F177)</f>
        <v>78318.6642</v>
      </c>
      <c r="G178" s="354">
        <f>IF(G175&lt;15,G176,G177)</f>
        <v>90239.52000000002</v>
      </c>
    </row>
    <row r="179" spans="1:8" s="72" customFormat="1" ht="13.5" customHeight="1">
      <c r="A179" s="100"/>
      <c r="B179" s="106"/>
      <c r="C179" s="107"/>
      <c r="D179" s="107"/>
      <c r="E179" s="107"/>
      <c r="F179" s="107"/>
      <c r="G179" s="107"/>
      <c r="H179" s="100"/>
    </row>
    <row r="180" spans="2:7" ht="13.5" customHeight="1">
      <c r="B180" s="114" t="s">
        <v>283</v>
      </c>
      <c r="C180" s="99">
        <f>C137+C140+C142+C148+C154+C160+C164+C168+C170+C178</f>
        <v>201352.88384945996</v>
      </c>
      <c r="D180" s="99">
        <f>D137+D140+D142+D148+D154+D160+D164+D168+D170+D178</f>
        <v>403604.4500051109</v>
      </c>
      <c r="E180" s="99">
        <f>E137+E140+E142+E148+E154+E160+E164+E168+E170+E178</f>
        <v>592190.9504021944</v>
      </c>
      <c r="F180" s="99">
        <f>F137+F140+F142+F148+F154+F160+F164+F168+F170+F178</f>
        <v>757204.1382496424</v>
      </c>
      <c r="G180" s="99">
        <f>G137+G140+G142+G148+G154+G160+G164+G168+G170+G178</f>
        <v>869349.4393178511</v>
      </c>
    </row>
    <row r="181" spans="2:7" ht="13.5" customHeight="1">
      <c r="B181" s="103"/>
      <c r="C181" s="335"/>
      <c r="D181" s="335"/>
      <c r="E181" s="335"/>
      <c r="F181" s="335"/>
      <c r="G181" s="335"/>
    </row>
    <row r="182" spans="1:7" ht="15">
      <c r="A182" s="90"/>
      <c r="B182" s="337"/>
      <c r="C182" s="338"/>
      <c r="D182" s="338"/>
      <c r="E182" s="338"/>
      <c r="F182" s="338"/>
      <c r="G182" s="338"/>
    </row>
    <row r="183" spans="1:7" ht="14.25">
      <c r="A183" s="90"/>
      <c r="B183" s="110"/>
      <c r="C183" s="336"/>
      <c r="D183" s="336"/>
      <c r="E183" s="336"/>
      <c r="F183" s="336"/>
      <c r="G183" s="336"/>
    </row>
    <row r="184" spans="2:7" ht="28.5">
      <c r="B184" s="238" t="s">
        <v>304</v>
      </c>
      <c r="C184" s="239">
        <f>C101+C121+C180</f>
        <v>885613.2050512462</v>
      </c>
      <c r="D184" s="239">
        <f>D101+D121+D180</f>
        <v>946730.2471317609</v>
      </c>
      <c r="E184" s="239">
        <f>E101+E121+E180</f>
        <v>1038874.9142551227</v>
      </c>
      <c r="F184" s="239">
        <f>F101+F121+F180</f>
        <v>1116124.247988064</v>
      </c>
      <c r="G184" s="239">
        <f>G101+G121+G180</f>
        <v>1196654.220633745</v>
      </c>
    </row>
    <row r="185" spans="2:7" s="72" customFormat="1" ht="14.25">
      <c r="B185" s="342"/>
      <c r="C185" s="343"/>
      <c r="D185" s="343"/>
      <c r="E185" s="343"/>
      <c r="F185" s="343"/>
      <c r="G185" s="343"/>
    </row>
    <row r="186" spans="2:9" ht="14.25">
      <c r="B186" s="116" t="s">
        <v>10</v>
      </c>
      <c r="C186" s="117"/>
      <c r="D186" s="117"/>
      <c r="E186" s="117"/>
      <c r="F186" s="117"/>
      <c r="G186" s="117"/>
      <c r="H186" s="144"/>
      <c r="I186" s="144"/>
    </row>
    <row r="187" spans="2:9" ht="14.25">
      <c r="B187" s="103"/>
      <c r="C187" s="78"/>
      <c r="D187" s="78"/>
      <c r="E187" s="78"/>
      <c r="F187" s="78"/>
      <c r="G187" s="78"/>
      <c r="H187" s="144"/>
      <c r="I187" s="144"/>
    </row>
    <row r="188" spans="2:9" ht="14.25">
      <c r="B188" s="142" t="s">
        <v>290</v>
      </c>
      <c r="C188" s="143">
        <f>C23</f>
        <v>150.8543025</v>
      </c>
      <c r="D188" s="143">
        <f>D23</f>
        <v>125.526095</v>
      </c>
      <c r="E188" s="143">
        <f>E23</f>
        <v>101.855375</v>
      </c>
      <c r="F188" s="143">
        <f>F23</f>
        <v>81.143495</v>
      </c>
      <c r="G188" s="143">
        <f>G23</f>
        <v>66.95199999999998</v>
      </c>
      <c r="H188" s="144"/>
      <c r="I188" s="144"/>
    </row>
    <row r="189" spans="2:9" ht="14.25">
      <c r="B189" s="98" t="s">
        <v>302</v>
      </c>
      <c r="C189" s="99">
        <f>C101/C23</f>
        <v>3669.143750154467</v>
      </c>
      <c r="D189" s="99">
        <f>D101/D23</f>
        <v>3446.5279679627583</v>
      </c>
      <c r="E189" s="99">
        <f>E101/E23</f>
        <v>3431.1784120664056</v>
      </c>
      <c r="F189" s="99">
        <f>F101/F23</f>
        <v>3388.2877455355065</v>
      </c>
      <c r="G189" s="99">
        <f>G101/G23</f>
        <v>3806.67913304896</v>
      </c>
      <c r="H189" s="144"/>
      <c r="I189" s="144"/>
    </row>
    <row r="190" spans="2:9" ht="28.5">
      <c r="B190" s="98" t="s">
        <v>301</v>
      </c>
      <c r="C190" s="99">
        <f>C180/C21</f>
        <v>8558.84863135131</v>
      </c>
      <c r="D190" s="99">
        <f>D180/D21</f>
        <v>8261.457298144556</v>
      </c>
      <c r="E190" s="99">
        <f>E180/E21</f>
        <v>8165.377627284449</v>
      </c>
      <c r="F190" s="99">
        <f>F180/F21</f>
        <v>8121.326922857549</v>
      </c>
      <c r="G190" s="99">
        <f>G180/G21</f>
        <v>8092.3915489244055</v>
      </c>
      <c r="H190" s="144"/>
      <c r="I190" s="144"/>
    </row>
    <row r="191" spans="2:9" ht="28.5">
      <c r="B191" s="145" t="s">
        <v>305</v>
      </c>
      <c r="C191" s="146">
        <f>C190*C23-C101</f>
        <v>737633.0192837949</v>
      </c>
      <c r="D191" s="146">
        <f>D190*D23-D101</f>
        <v>604399.2765186868</v>
      </c>
      <c r="E191" s="146">
        <f>E190*E23-E101</f>
        <v>482203.63639073947</v>
      </c>
      <c r="F191" s="146">
        <f>F190*F23-F101</f>
        <v>384055.3408198353</v>
      </c>
      <c r="G191" s="146">
        <f>G190*G23-G101</f>
        <v>286937.0176676928</v>
      </c>
      <c r="H191" s="144"/>
      <c r="I191" s="144"/>
    </row>
    <row r="192" spans="2:9" ht="14.25">
      <c r="B192" s="106"/>
      <c r="C192" s="141"/>
      <c r="D192" s="141"/>
      <c r="E192" s="141"/>
      <c r="F192" s="141"/>
      <c r="G192" s="141"/>
      <c r="H192" s="144"/>
      <c r="I192" s="144"/>
    </row>
    <row r="193" spans="2:9" ht="14.25">
      <c r="B193" s="240" t="s">
        <v>226</v>
      </c>
      <c r="C193" s="147">
        <f>C3*C107/100*C108/100*C109/100*0.25</f>
        <v>225.625</v>
      </c>
      <c r="D193" s="147">
        <f>D3*D107/100*D108/100*D109/100*0.25</f>
        <v>180.625</v>
      </c>
      <c r="E193" s="147">
        <f>E3*E107/100*E108/100*E109/100*0.25</f>
        <v>140.625</v>
      </c>
      <c r="F193" s="147">
        <f>F3*F107/100*F108/100*F109/100*0.25</f>
        <v>105.625</v>
      </c>
      <c r="G193" s="147">
        <f>G3*G107/100*G108/100*G109/100*0.25</f>
        <v>118.75</v>
      </c>
      <c r="H193" s="144"/>
      <c r="I193" s="144"/>
    </row>
    <row r="194" spans="2:9" ht="14.25">
      <c r="B194" s="5" t="s">
        <v>227</v>
      </c>
      <c r="C194" s="6">
        <f>C3*C107/100*C108/100*C109/100*0.11</f>
        <v>99.275</v>
      </c>
      <c r="D194" s="6">
        <f>D3*D107/100*D108/100*D109/100*0.11</f>
        <v>79.475</v>
      </c>
      <c r="E194" s="6">
        <f>E3*E107/100*E108/100*E109/100*0.11</f>
        <v>61.875</v>
      </c>
      <c r="F194" s="6">
        <f>F3*F107/100*F108/100*F109/100*0.11</f>
        <v>46.475</v>
      </c>
      <c r="G194" s="6">
        <f>G3*G107/100*G108/100*G109/100*0.11</f>
        <v>52.25</v>
      </c>
      <c r="H194" s="144"/>
      <c r="I194" s="144"/>
    </row>
    <row r="195" spans="2:9" ht="14.25">
      <c r="B195" s="5" t="s">
        <v>275</v>
      </c>
      <c r="C195" s="6">
        <f>C3*C107/100*C108/100*C109/100*0.2</f>
        <v>180.5</v>
      </c>
      <c r="D195" s="6">
        <f>D3*D107/100*D108/100*D109/100*0.2</f>
        <v>144.5</v>
      </c>
      <c r="E195" s="6">
        <f>E3*E107/100*E108/100*E109/100*0.2</f>
        <v>112.5</v>
      </c>
      <c r="F195" s="6">
        <f>F3*F107/100*F108/100*F109/100*0.2</f>
        <v>84.5</v>
      </c>
      <c r="G195" s="6">
        <f>G3*G107/100*G108/100*G109/100*0.2</f>
        <v>95</v>
      </c>
      <c r="H195" s="144"/>
      <c r="I195" s="144"/>
    </row>
    <row r="196" spans="2:7" ht="28.5">
      <c r="B196" s="5" t="s">
        <v>231</v>
      </c>
      <c r="C196" s="6">
        <f>C3*C107/100*C108/100*C109/100*0.13</f>
        <v>117.325</v>
      </c>
      <c r="D196" s="6">
        <f>D3*D107/100*D108/100*D109/100*0.13</f>
        <v>93.925</v>
      </c>
      <c r="E196" s="6">
        <f>E3*E107/100*E108/100*E109/100*0.13</f>
        <v>73.125</v>
      </c>
      <c r="F196" s="6">
        <f>F3*F107/100*F108/100*F109/100*0.13</f>
        <v>54.925000000000004</v>
      </c>
      <c r="G196" s="6">
        <f>G3*G107/100*G108/100*G109/100*0.13</f>
        <v>61.75</v>
      </c>
    </row>
    <row r="197" spans="2:9" ht="14.25">
      <c r="B197" s="148" t="s">
        <v>284</v>
      </c>
      <c r="C197" s="149">
        <f>C121/(C193+C194+C195+C196)</f>
        <v>209.9710144927536</v>
      </c>
      <c r="D197" s="149">
        <f>D121/(D193+D194+D195+D196)</f>
        <v>221.6470588235294</v>
      </c>
      <c r="E197" s="149">
        <f>E121/(E193+E194+E195+E196)</f>
        <v>250.43478260869566</v>
      </c>
      <c r="F197" s="149">
        <f>F121/(F193+F194+F195+F196)</f>
        <v>288.0802675585284</v>
      </c>
      <c r="G197" s="149">
        <f>G121/(G193+G194+G195+G196)</f>
        <v>221.022120518688</v>
      </c>
      <c r="H197" s="144"/>
      <c r="I197" s="144"/>
    </row>
    <row r="198" spans="2:7" ht="14.25">
      <c r="B198" s="106"/>
      <c r="C198" s="141"/>
      <c r="D198" s="141"/>
      <c r="E198" s="141"/>
      <c r="F198" s="141"/>
      <c r="G198" s="141"/>
    </row>
    <row r="199" spans="2:7" ht="28.5">
      <c r="B199" s="276" t="s">
        <v>291</v>
      </c>
      <c r="C199" s="150">
        <f>(C3*C4/100*C5/100*C6/100*C7/100*C53/100)-(C14*C8/100)</f>
        <v>91.475</v>
      </c>
      <c r="D199" s="150">
        <f>(D3*D4/100*D5/100*D6/100*D7/100*D53/100)-(D14*D8/100)</f>
        <v>50.05000000000001</v>
      </c>
      <c r="E199" s="150">
        <f>(E3*E4/100*E5/100*E6/100*E7/100*E53/100)-(E14*E8/100)</f>
        <v>21.25</v>
      </c>
      <c r="F199" s="150">
        <f>(F3*F4/100*F5/100*F6/100*F7/100*F53/100)-(F14*F8/100)</f>
        <v>-3.950000000000003</v>
      </c>
      <c r="G199" s="150">
        <f>(G3*G4/100*G6/100*G7/100*G53/100)-(G14*G8/100)</f>
        <v>-48</v>
      </c>
    </row>
    <row r="200" spans="2:4" ht="14.25">
      <c r="B200" s="44" t="s">
        <v>181</v>
      </c>
      <c r="C200" s="151"/>
      <c r="D200" s="78"/>
    </row>
    <row r="201" ht="14.25">
      <c r="C201" s="151"/>
    </row>
  </sheetData>
  <sheetProtection selectLockedCells="1"/>
  <mergeCells count="9">
    <mergeCell ref="B150:D150"/>
    <mergeCell ref="B145:D145"/>
    <mergeCell ref="B17:B18"/>
    <mergeCell ref="E40:F40"/>
    <mergeCell ref="E126:F126"/>
    <mergeCell ref="B26:G26"/>
    <mergeCell ref="B39:G39"/>
    <mergeCell ref="B52:G52"/>
    <mergeCell ref="B19:B20"/>
  </mergeCells>
  <dataValidations count="3">
    <dataValidation type="list" allowBlank="1" showInputMessage="1" showErrorMessage="1" sqref="C151:G151">
      <formula1>"1, 2"</formula1>
    </dataValidation>
    <dataValidation type="list" allowBlank="1" showInputMessage="1" showErrorMessage="1" sqref="C157:G157">
      <formula1>"1, 2, 3"</formula1>
    </dataValidation>
    <dataValidation type="list" allowBlank="1" showInputMessage="1" showErrorMessage="1" sqref="C79:G79">
      <formula1>"0, 6, 12, 18"</formula1>
    </dataValidation>
  </dataValidations>
  <printOptions/>
  <pageMargins left="0.7086614173228347" right="0.7086614173228347" top="0.47" bottom="0.7480314960629921" header="0.31496062992125984" footer="0.31496062992125984"/>
  <pageSetup orientation="portrait" paperSize="9" scale="60" r:id="rId3"/>
  <legacyDrawing r:id="rId2"/>
</worksheet>
</file>

<file path=xl/worksheets/sheet4.xml><?xml version="1.0" encoding="utf-8"?>
<worksheet xmlns="http://schemas.openxmlformats.org/spreadsheetml/2006/main" xmlns:r="http://schemas.openxmlformats.org/officeDocument/2006/relationships">
  <sheetPr>
    <tabColor rgb="FFCCFF99"/>
  </sheetPr>
  <dimension ref="B2:I33"/>
  <sheetViews>
    <sheetView showGridLines="0" zoomScale="115" zoomScaleNormal="115" zoomScaleSheetLayoutView="100" zoomScalePageLayoutView="0" workbookViewId="0" topLeftCell="C13">
      <selection activeCell="J31" sqref="J31"/>
    </sheetView>
  </sheetViews>
  <sheetFormatPr defaultColWidth="9.00390625" defaultRowHeight="15"/>
  <cols>
    <col min="1" max="1" width="3.7109375" style="1" customWidth="1"/>
    <col min="2" max="2" width="16.421875" style="1" customWidth="1"/>
    <col min="3" max="3" width="23.8515625" style="22" customWidth="1"/>
    <col min="4" max="4" width="31.7109375" style="22" customWidth="1"/>
    <col min="5" max="7" width="15.57421875" style="1" customWidth="1"/>
    <col min="8" max="8" width="17.140625" style="1" customWidth="1"/>
    <col min="9" max="9" width="15.57421875" style="1" customWidth="1"/>
    <col min="10" max="16384" width="9.00390625" style="1" customWidth="1"/>
  </cols>
  <sheetData>
    <row r="2" spans="2:3" ht="23.25" customHeight="1">
      <c r="B2" s="400" t="s">
        <v>232</v>
      </c>
      <c r="C2" s="400"/>
    </row>
    <row r="4" spans="2:9" s="22" customFormat="1" ht="42.75">
      <c r="B4" s="21" t="s">
        <v>18</v>
      </c>
      <c r="E4" s="304" t="str">
        <f>'3. Herramienta de costeo'!C2</f>
        <v>Escenario Objetivo</v>
      </c>
      <c r="F4" s="304" t="str">
        <f>'3. Herramienta de costeo'!D2</f>
        <v>Escenario intermedio 2º</v>
      </c>
      <c r="G4" s="304" t="str">
        <f>'3. Herramienta de costeo'!E2</f>
        <v>Escenario intermedio 1º</v>
      </c>
      <c r="H4" s="304" t="str">
        <f>'3. Herramienta de costeo'!F2</f>
        <v>Escenario actual con datos de CPN</v>
      </c>
      <c r="I4" s="304" t="str">
        <f>'3. Herramienta de costeo'!G2</f>
        <v>Escenario actual sin datos de CPN</v>
      </c>
    </row>
    <row r="5" spans="3:9" ht="14.25" customHeight="1">
      <c r="C5" s="402" t="s">
        <v>255</v>
      </c>
      <c r="D5" s="23" t="s">
        <v>410</v>
      </c>
      <c r="E5" s="24">
        <f>'3. Herramienta de costeo'!C27*2+'3. Herramienta de costeo'!C28+'3. Herramienta de costeo'!C32+'3. Herramienta de costeo'!C34+'3. Herramienta de costeo'!C36+'3. Herramienta de costeo'!C57+'3. Herramienta de costeo'!C59+'3. Herramienta de costeo'!C80+'3. Herramienta de costeo'!C84+'3. Herramienta de costeo'!C90+'3. Herramienta de costeo'!C92*2+'3. Herramienta de costeo'!C93+'3. Herramienta de costeo'!C95+'3. Herramienta de costeo'!C97*'3. Herramienta de costeo'!C98</f>
        <v>904.2316666666667</v>
      </c>
      <c r="F5" s="24">
        <f>'3. Herramienta de costeo'!D27*2+'3. Herramienta de costeo'!D28+'3. Herramienta de costeo'!D32+'3. Herramienta de costeo'!D34+'3. Herramienta de costeo'!D36+'3. Herramienta de costeo'!D57+'3. Herramienta de costeo'!D59+'3. Herramienta de costeo'!D80+'3. Herramienta de costeo'!D84+'3. Herramienta de costeo'!D90+'3. Herramienta de costeo'!D92*2+'3. Herramienta de costeo'!D93+'3. Herramienta de costeo'!D95+'3. Herramienta de costeo'!D97*'3. Herramienta de costeo'!D98</f>
        <v>904.2316666666667</v>
      </c>
      <c r="G5" s="24">
        <f>'3. Herramienta de costeo'!E27*2+'3. Herramienta de costeo'!E28+'3. Herramienta de costeo'!E32+'3. Herramienta de costeo'!E34+'3. Herramienta de costeo'!E36+'3. Herramienta de costeo'!E57+'3. Herramienta de costeo'!E59+'3. Herramienta de costeo'!E80+'3. Herramienta de costeo'!E84+'3. Herramienta de costeo'!E90+'3. Herramienta de costeo'!E92*2+'3. Herramienta de costeo'!E93+'3. Herramienta de costeo'!E95+'3. Herramienta de costeo'!E97*'3. Herramienta de costeo'!E98</f>
        <v>904.2316666666667</v>
      </c>
      <c r="H5" s="24">
        <f>'3. Herramienta de costeo'!F27*2+'3. Herramienta de costeo'!F28+'3. Herramienta de costeo'!F32+'3. Herramienta de costeo'!F34+'3. Herramienta de costeo'!F36+'3. Herramienta de costeo'!F57+'3. Herramienta de costeo'!F59+'3. Herramienta de costeo'!F80+'3. Herramienta de costeo'!F84+'3. Herramienta de costeo'!F90+'3. Herramienta de costeo'!F92*2+'3. Herramienta de costeo'!F93+'3. Herramienta de costeo'!F95+'3. Herramienta de costeo'!F97*'3. Herramienta de costeo'!F98</f>
        <v>904.2316666666667</v>
      </c>
      <c r="I5" s="24">
        <f>'3. Herramienta de costeo'!G27*2+'3. Herramienta de costeo'!G28+'3. Herramienta de costeo'!G32+'3. Herramienta de costeo'!G34+'3. Herramienta de costeo'!G36+'3. Herramienta de costeo'!G57+'3. Herramienta de costeo'!G59+'3. Herramienta de costeo'!G80+'3. Herramienta de costeo'!G84+'3. Herramienta de costeo'!G90+'3. Herramienta de costeo'!G92*2+'3. Herramienta de costeo'!G93+'3. Herramienta de costeo'!G95+'3. Herramienta de costeo'!G97*'3. Herramienta de costeo'!G98</f>
        <v>904.2316666666667</v>
      </c>
    </row>
    <row r="6" spans="3:9" ht="14.25" customHeight="1">
      <c r="C6" s="402"/>
      <c r="D6" s="23" t="s">
        <v>409</v>
      </c>
      <c r="E6" s="260">
        <f>'3. Herramienta de costeo'!C27*2+'3. Herramienta de costeo'!C28+'3. Herramienta de costeo'!C32+'3. Herramienta de costeo'!C34+'3. Herramienta de costeo'!C36+'3. Herramienta de costeo'!C58+'3. Herramienta de costeo'!C59+'3. Herramienta de costeo'!C80+'3. Herramienta de costeo'!C84+'3. Herramienta de costeo'!C90+'3. Herramienta de costeo'!C92*2+'3. Herramienta de costeo'!C93+'3. Herramienta de costeo'!C95+'3. Herramienta de costeo'!C97*'3. Herramienta de costeo'!C98</f>
        <v>1102.6816666666666</v>
      </c>
      <c r="F6" s="260">
        <f>'3. Herramienta de costeo'!D27*2+'3. Herramienta de costeo'!D28+'3. Herramienta de costeo'!D32+'3. Herramienta de costeo'!D34+'3. Herramienta de costeo'!D36+'3. Herramienta de costeo'!D58+'3. Herramienta de costeo'!D59+'3. Herramienta de costeo'!D80+'3. Herramienta de costeo'!D84+'3. Herramienta de costeo'!D90+'3. Herramienta de costeo'!D92*2+'3. Herramienta de costeo'!D93+'3. Herramienta de costeo'!D95+'3. Herramienta de costeo'!D97*'3. Herramienta de costeo'!D98</f>
        <v>1102.6816666666666</v>
      </c>
      <c r="G6" s="260">
        <f>'3. Herramienta de costeo'!E27*2+'3. Herramienta de costeo'!E28+'3. Herramienta de costeo'!E32+'3. Herramienta de costeo'!E34+'3. Herramienta de costeo'!E36+'3. Herramienta de costeo'!E58+'3. Herramienta de costeo'!E59+'3. Herramienta de costeo'!E80+'3. Herramienta de costeo'!E84+'3. Herramienta de costeo'!E90+'3. Herramienta de costeo'!E92*2+'3. Herramienta de costeo'!E93+'3. Herramienta de costeo'!E95+'3. Herramienta de costeo'!E97*'3. Herramienta de costeo'!E98</f>
        <v>1102.6816666666666</v>
      </c>
      <c r="H6" s="260">
        <f>'3. Herramienta de costeo'!F27*2+'3. Herramienta de costeo'!F28+'3. Herramienta de costeo'!F32+'3. Herramienta de costeo'!F34+'3. Herramienta de costeo'!F36+'3. Herramienta de costeo'!F58+'3. Herramienta de costeo'!F59+'3. Herramienta de costeo'!F80+'3. Herramienta de costeo'!F84+'3. Herramienta de costeo'!F90+'3. Herramienta de costeo'!F92*2+'3. Herramienta de costeo'!F93+'3. Herramienta de costeo'!F95+'3. Herramienta de costeo'!F97*'3. Herramienta de costeo'!F98</f>
        <v>1102.6816666666666</v>
      </c>
      <c r="I6" s="260">
        <f>'3. Herramienta de costeo'!G27*2+'3. Herramienta de costeo'!G28+'3. Herramienta de costeo'!G32+'3. Herramienta de costeo'!G34+'3. Herramienta de costeo'!G36+'3. Herramienta de costeo'!G58+'3. Herramienta de costeo'!G59+'3. Herramienta de costeo'!G80+'3. Herramienta de costeo'!G84+'3. Herramienta de costeo'!G90+'3. Herramienta de costeo'!G92*2+'3. Herramienta de costeo'!G93+'3. Herramienta de costeo'!G95+'3. Herramienta de costeo'!G97*'3. Herramienta de costeo'!G98</f>
        <v>1102.6816666666666</v>
      </c>
    </row>
    <row r="7" spans="3:9" ht="14.25">
      <c r="C7" s="402"/>
      <c r="D7" s="10" t="s">
        <v>411</v>
      </c>
      <c r="E7" s="260">
        <f>'3. Herramienta de costeo'!C27*2+'3. Herramienta de costeo'!C28+'3. Herramienta de costeo'!C32+'3. Herramienta de costeo'!C34+'3. Herramienta de costeo'!C36+'3. Herramienta de costeo'!C68+'3. Herramienta de costeo'!C69+'3. Herramienta de costeo'!C80+'3. Herramienta de costeo'!C84+'3. Herramienta de costeo'!C90+'3. Herramienta de costeo'!C92*2+'3. Herramienta de costeo'!C93+'3. Herramienta de costeo'!C95+'3. Herramienta de costeo'!C97*'3. Herramienta de costeo'!C98</f>
        <v>1102.6816666666666</v>
      </c>
      <c r="F7" s="260">
        <f>'3. Herramienta de costeo'!D27*2+'3. Herramienta de costeo'!D28+'3. Herramienta de costeo'!D32+'3. Herramienta de costeo'!D34+'3. Herramienta de costeo'!D36+'3. Herramienta de costeo'!D68+'3. Herramienta de costeo'!D69+'3. Herramienta de costeo'!D80+'3. Herramienta de costeo'!D84+'3. Herramienta de costeo'!D90+'3. Herramienta de costeo'!D92*2+'3. Herramienta de costeo'!D93+'3. Herramienta de costeo'!D95+'3. Herramienta de costeo'!D97*'3. Herramienta de costeo'!D98</f>
        <v>1102.6816666666666</v>
      </c>
      <c r="G7" s="260">
        <f>'3. Herramienta de costeo'!E27*2+'3. Herramienta de costeo'!E28+'3. Herramienta de costeo'!E32+'3. Herramienta de costeo'!E34+'3. Herramienta de costeo'!E36+'3. Herramienta de costeo'!E68+'3. Herramienta de costeo'!E69+'3. Herramienta de costeo'!E80+'3. Herramienta de costeo'!E84+'3. Herramienta de costeo'!E90+'3. Herramienta de costeo'!E92*2+'3. Herramienta de costeo'!E93+'3. Herramienta de costeo'!E95+'3. Herramienta de costeo'!E97*'3. Herramienta de costeo'!E98</f>
        <v>1102.6816666666666</v>
      </c>
      <c r="H7" s="260">
        <f>'3. Herramienta de costeo'!F27*2+'3. Herramienta de costeo'!F28+'3. Herramienta de costeo'!F32+'3. Herramienta de costeo'!F34+'3. Herramienta de costeo'!F36+'3. Herramienta de costeo'!F68+'3. Herramienta de costeo'!F69+'3. Herramienta de costeo'!F80+'3. Herramienta de costeo'!F84+'3. Herramienta de costeo'!F90+'3. Herramienta de costeo'!F92*2+'3. Herramienta de costeo'!F93+'3. Herramienta de costeo'!F95+'3. Herramienta de costeo'!F97*'3. Herramienta de costeo'!F98</f>
        <v>1102.6816666666666</v>
      </c>
      <c r="I7" s="260">
        <f>'3. Herramienta de costeo'!G27*2+'3. Herramienta de costeo'!G28+'3. Herramienta de costeo'!G32+'3. Herramienta de costeo'!G34+'3. Herramienta de costeo'!G36+'3. Herramienta de costeo'!G68+'3. Herramienta de costeo'!G69+'3. Herramienta de costeo'!G80+'3. Herramienta de costeo'!G84+'3. Herramienta de costeo'!G90+'3. Herramienta de costeo'!G92*2+'3. Herramienta de costeo'!G93+'3. Herramienta de costeo'!G95+'3. Herramienta de costeo'!G97*'3. Herramienta de costeo'!G98</f>
        <v>1102.6816666666666</v>
      </c>
    </row>
    <row r="8" spans="3:9" ht="14.25">
      <c r="C8" s="402"/>
      <c r="D8" s="25" t="s">
        <v>391</v>
      </c>
      <c r="E8" s="26">
        <f>'3. Herramienta de costeo'!C80</f>
        <v>414.88166666666666</v>
      </c>
      <c r="F8" s="26">
        <f>'3. Herramienta de costeo'!D80</f>
        <v>414.88166666666666</v>
      </c>
      <c r="G8" s="26">
        <f>'3. Herramienta de costeo'!E80</f>
        <v>414.88166666666666</v>
      </c>
      <c r="H8" s="26">
        <f>'3. Herramienta de costeo'!F80</f>
        <v>414.88166666666666</v>
      </c>
      <c r="I8" s="26">
        <f>'3. Herramienta de costeo'!G80</f>
        <v>414.88166666666666</v>
      </c>
    </row>
    <row r="10" spans="3:9" ht="14.25">
      <c r="C10" s="401" t="s">
        <v>372</v>
      </c>
      <c r="D10" s="25" t="s">
        <v>373</v>
      </c>
      <c r="E10" s="27">
        <f>'3. Herramienta de costeo'!C29+'3. Herramienta de costeo'!C30+'3. Herramienta de costeo'!C31+'3. Herramienta de costeo'!C35+'3. Herramienta de costeo'!C37+'3. Herramienta de costeo'!C94</f>
        <v>171439.9514563107</v>
      </c>
      <c r="F10" s="27">
        <f>'3. Herramienta de costeo'!D29+'3. Herramienta de costeo'!D30+'3. Herramienta de costeo'!D31+'3. Herramienta de costeo'!D35+'3. Herramienta de costeo'!D37+'3. Herramienta de costeo'!D94</f>
        <v>142223.15533980582</v>
      </c>
      <c r="G10" s="27">
        <f>'3. Herramienta de costeo'!E29+'3. Herramienta de costeo'!E30+'3. Herramienta de costeo'!E31+'3. Herramienta de costeo'!E35+'3. Herramienta de costeo'!E37+'3. Herramienta de costeo'!E94</f>
        <v>122758.25242718446</v>
      </c>
      <c r="H10" s="27">
        <f>'3. Herramienta de costeo'!F29+'3. Herramienta de costeo'!F30+'3. Herramienta de costeo'!F31+'3. Herramienta de costeo'!F35+'3. Herramienta de costeo'!F37+'3. Herramienta de costeo'!F94</f>
        <v>104022.08737864078</v>
      </c>
      <c r="I10" s="27">
        <f>'3. Herramienta de costeo'!G29+'3. Herramienta de costeo'!G30+'3. Herramienta de costeo'!G31+'3. Herramienta de costeo'!G35+'3. Herramienta de costeo'!G37+'3. Herramienta de costeo'!G94</f>
        <v>76794.17475728155</v>
      </c>
    </row>
    <row r="11" spans="3:9" ht="14.25">
      <c r="C11" s="401"/>
      <c r="D11" s="25" t="s">
        <v>374</v>
      </c>
      <c r="E11" s="27">
        <f>'3. Herramienta de costeo'!C60+'3. Herramienta de costeo'!C61+'3. Herramienta de costeo'!C70+'3. Herramienta de costeo'!C71+'3. Herramienta de costeo'!C91</f>
        <v>86221.64578161898</v>
      </c>
      <c r="F11" s="27">
        <f>'3. Herramienta de costeo'!D60+'3. Herramienta de costeo'!D61+'3. Herramienta de costeo'!D70+'3. Herramienta de costeo'!D71+'3. Herramienta de costeo'!D91</f>
        <v>65392.18564746784</v>
      </c>
      <c r="G11" s="27">
        <f>'3. Herramienta de costeo'!E60+'3. Herramienta de costeo'!E61+'3. Herramienta de costeo'!E70+'3. Herramienta de costeo'!E71+'3. Herramienta de costeo'!E91</f>
        <v>50910.87117882445</v>
      </c>
      <c r="H11" s="27">
        <f>'3. Herramienta de costeo'!F60+'3. Herramienta de costeo'!F61+'3. Herramienta de costeo'!F70+'3. Herramienta de costeo'!F71+'3. Herramienta de costeo'!F91</f>
        <v>38239.72101876148</v>
      </c>
      <c r="I11" s="27">
        <f>'3. Herramienta de costeo'!G60+'3. Herramienta de costeo'!G61+'3. Herramienta de costeo'!G70+'3. Herramienta de costeo'!G71+'3. Herramienta de costeo'!G91</f>
        <v>40225.87352400944</v>
      </c>
    </row>
    <row r="12" spans="3:9" ht="14.25">
      <c r="C12" s="401"/>
      <c r="D12" s="25" t="s">
        <v>233</v>
      </c>
      <c r="E12" s="27">
        <f>'3. Herramienta de costeo'!C33+'3. Herramienta de costeo'!C89+'3. Herramienta de costeo'!C96+'3. Herramienta de costeo'!C99</f>
        <v>117989.93948469007</v>
      </c>
      <c r="F12" s="27">
        <f>'3. Herramienta de costeo'!D33+'3. Herramienta de costeo'!D89+'3. Herramienta de costeo'!D96+'3. Herramienta de costeo'!D99</f>
        <v>90125.4542643764</v>
      </c>
      <c r="G12" s="27">
        <f>'3. Herramienta de costeo'!E33+'3. Herramienta de costeo'!E89+'3. Herramienta de costeo'!E96+'3. Herramienta de costeo'!E99</f>
        <v>70797.91837191934</v>
      </c>
      <c r="H12" s="27">
        <f>'3. Herramienta de costeo'!F33+'3. Herramienta de costeo'!F89+'3. Herramienta de costeo'!F96+'3. Herramienta de costeo'!F99</f>
        <v>53796.32446601942</v>
      </c>
      <c r="I12" s="27">
        <f>'3. Herramienta de costeo'!G33+'3. Herramienta de costeo'!G89+'3. Herramienta de costeo'!G96+'3. Herramienta de costeo'!G99</f>
        <v>54868.399701269605</v>
      </c>
    </row>
    <row r="13" spans="3:9" ht="14.25">
      <c r="C13" s="401"/>
      <c r="D13" s="25" t="s">
        <v>391</v>
      </c>
      <c r="E13" s="26">
        <f>'3. Herramienta de costeo'!C81</f>
        <v>177854.58447916666</v>
      </c>
      <c r="F13" s="26">
        <f>'3. Herramienta de costeo'!D81</f>
        <v>134888.401875</v>
      </c>
      <c r="G13" s="26">
        <f>'3. Herramienta de costeo'!E81</f>
        <v>105016.921875</v>
      </c>
      <c r="H13" s="26">
        <f>'3. Herramienta de costeo'!F81</f>
        <v>78879.376875</v>
      </c>
      <c r="I13" s="26">
        <f>'3. Herramienta de costeo'!G81</f>
        <v>82976.33333333333</v>
      </c>
    </row>
    <row r="14" spans="3:9" ht="14.25">
      <c r="C14" s="401"/>
      <c r="D14" s="28" t="s">
        <v>51</v>
      </c>
      <c r="E14" s="29">
        <f>SUM(E10:E13)</f>
        <v>553506.1212017864</v>
      </c>
      <c r="F14" s="29">
        <f>SUM(F10:F13)</f>
        <v>432629.19712665</v>
      </c>
      <c r="G14" s="29">
        <f>SUM(G10:G13)</f>
        <v>349483.96385292825</v>
      </c>
      <c r="H14" s="29">
        <f>SUM(H10:H13)</f>
        <v>274937.5097384217</v>
      </c>
      <c r="I14" s="29">
        <f>SUM(I10:I13)</f>
        <v>254864.78131589392</v>
      </c>
    </row>
    <row r="15" spans="3:9" ht="14.25">
      <c r="C15" s="30"/>
      <c r="D15" s="30"/>
      <c r="E15" s="31"/>
      <c r="F15" s="31"/>
      <c r="G15" s="31"/>
      <c r="H15" s="31"/>
      <c r="I15" s="31"/>
    </row>
    <row r="17" spans="2:9" ht="42.75">
      <c r="B17" s="32" t="s">
        <v>62</v>
      </c>
      <c r="E17" s="294" t="str">
        <f>'3. Herramienta de costeo'!C2</f>
        <v>Escenario Objetivo</v>
      </c>
      <c r="F17" s="294" t="str">
        <f>'3. Herramienta de costeo'!D2</f>
        <v>Escenario intermedio 2º</v>
      </c>
      <c r="G17" s="294" t="str">
        <f>'3. Herramienta de costeo'!E2</f>
        <v>Escenario intermedio 1º</v>
      </c>
      <c r="H17" s="294" t="str">
        <f>'3. Herramienta de costeo'!F2</f>
        <v>Escenario actual con datos de CPN</v>
      </c>
      <c r="I17" s="294" t="str">
        <f>'3. Herramienta de costeo'!G2</f>
        <v>Escenario actual sin datos de CPN</v>
      </c>
    </row>
    <row r="18" spans="3:9" ht="23.25" customHeight="1">
      <c r="C18" s="403" t="s">
        <v>117</v>
      </c>
      <c r="D18" s="404"/>
      <c r="E18" s="24">
        <f>'3. Herramienta de costeo'!C110*3+'3. Herramienta de costeo'!C113*4+'3. Herramienta de costeo'!C116+'3. Herramienta de costeo'!C118*3</f>
        <v>6.499999999999999</v>
      </c>
      <c r="F18" s="24">
        <f>'3. Herramienta de costeo'!D110*3+'3. Herramienta de costeo'!D113*4+'3. Herramienta de costeo'!D116+'3. Herramienta de costeo'!D118*3</f>
        <v>6.499999999999999</v>
      </c>
      <c r="G18" s="24">
        <f>'3. Herramienta de costeo'!E110*3+'3. Herramienta de costeo'!E113*4+'3. Herramienta de costeo'!E116+'3. Herramienta de costeo'!E118*3</f>
        <v>6.499999999999999</v>
      </c>
      <c r="H18" s="24">
        <f>'3. Herramienta de costeo'!F110*3+'3. Herramienta de costeo'!F113*4+'3. Herramienta de costeo'!F116+'3. Herramienta de costeo'!F118*3</f>
        <v>6.499999999999999</v>
      </c>
      <c r="I18" s="24">
        <f>'3. Herramienta de costeo'!G110*3+'3. Herramienta de costeo'!G113*4+'3. Herramienta de costeo'!G116+'3. Herramienta de costeo'!G118*3</f>
        <v>6.499999999999999</v>
      </c>
    </row>
    <row r="20" spans="3:9" ht="28.5" customHeight="1">
      <c r="C20" s="401" t="s">
        <v>376</v>
      </c>
      <c r="D20" s="25" t="s">
        <v>373</v>
      </c>
      <c r="E20" s="279">
        <f>'3. Herramienta de costeo'!C111+'3. Herramienta de costeo'!C112+'3. Herramienta de costeo'!C119</f>
        <v>128782.23749999999</v>
      </c>
      <c r="F20" s="279">
        <f>'3. Herramienta de costeo'!D111+'3. Herramienta de costeo'!D112+'3. Herramienta de costeo'!D119</f>
        <v>109001.025</v>
      </c>
      <c r="G20" s="279">
        <f>'3. Herramienta de costeo'!E111+'3. Herramienta de costeo'!E112+'3. Herramienta de costeo'!E119</f>
        <v>96035.625</v>
      </c>
      <c r="H20" s="279">
        <f>'3. Herramienta de costeo'!F111+'3. Herramienta de costeo'!F112+'3. Herramienta de costeo'!F119</f>
        <v>83108.025</v>
      </c>
      <c r="I20" s="279">
        <f>'3. Herramienta de costeo'!G111+'3. Herramienta de costeo'!G112+'3. Herramienta de costeo'!G119</f>
        <v>71347.5</v>
      </c>
    </row>
    <row r="21" spans="3:9" ht="14.25">
      <c r="C21" s="401"/>
      <c r="D21" s="25" t="s">
        <v>374</v>
      </c>
      <c r="E21" s="260">
        <f>'3. Herramienta de costeo'!C114+'3. Herramienta de costeo'!C115+'3. Herramienta de costeo'!C117</f>
        <v>1971.9625</v>
      </c>
      <c r="F21" s="260">
        <f>'3. Herramienta de costeo'!D114+'3. Herramienta de costeo'!D115+'3. Herramienta de costeo'!D117</f>
        <v>1495.575</v>
      </c>
      <c r="G21" s="260">
        <f>'3. Herramienta de costeo'!E114+'3. Herramienta de costeo'!E115+'3. Herramienta de costeo'!E117</f>
        <v>1164.375</v>
      </c>
      <c r="H21" s="260">
        <f>'3. Herramienta de costeo'!F114+'3. Herramienta de costeo'!F115+'3. Herramienta de costeo'!F117</f>
        <v>874.575</v>
      </c>
      <c r="I21" s="260">
        <f>'3. Herramienta de costeo'!G114+'3. Herramienta de costeo'!G115+'3. Herramienta de costeo'!G117</f>
        <v>1092.5</v>
      </c>
    </row>
    <row r="22" spans="3:9" ht="14.25">
      <c r="C22" s="401"/>
      <c r="D22" s="33" t="s">
        <v>51</v>
      </c>
      <c r="E22" s="280">
        <f>SUM(E20:E21)</f>
        <v>130754.19999999998</v>
      </c>
      <c r="F22" s="280">
        <f>SUM(F20:F21)</f>
        <v>110496.59999999999</v>
      </c>
      <c r="G22" s="280">
        <f>SUM(G20:G21)</f>
        <v>97200</v>
      </c>
      <c r="H22" s="280">
        <f>SUM(H20:H21)</f>
        <v>83982.59999999999</v>
      </c>
      <c r="I22" s="280">
        <f>SUM(I20:I21)</f>
        <v>72440</v>
      </c>
    </row>
    <row r="23" spans="3:9" ht="14.25">
      <c r="C23" s="30"/>
      <c r="D23" s="34"/>
      <c r="E23" s="35"/>
      <c r="F23" s="35"/>
      <c r="G23" s="35"/>
      <c r="H23" s="35"/>
      <c r="I23" s="35"/>
    </row>
    <row r="25" spans="2:9" s="22" customFormat="1" ht="45" customHeight="1">
      <c r="B25" s="32" t="s">
        <v>235</v>
      </c>
      <c r="E25" s="304" t="str">
        <f>'3. Herramienta de costeo'!C2</f>
        <v>Escenario Objetivo</v>
      </c>
      <c r="F25" s="304" t="str">
        <f>'3. Herramienta de costeo'!D2</f>
        <v>Escenario intermedio 2º</v>
      </c>
      <c r="G25" s="304" t="str">
        <f>'3. Herramienta de costeo'!E2</f>
        <v>Escenario intermedio 1º</v>
      </c>
      <c r="H25" s="304" t="str">
        <f>'3. Herramienta de costeo'!F2</f>
        <v>Escenario actual con datos de CPN</v>
      </c>
      <c r="I25" s="304" t="str">
        <f>'3. Herramienta de costeo'!G2</f>
        <v>Escenario actual sin datos de CPN</v>
      </c>
    </row>
    <row r="26" spans="3:9" ht="28.5">
      <c r="C26" s="402" t="s">
        <v>375</v>
      </c>
      <c r="D26" s="25" t="s">
        <v>256</v>
      </c>
      <c r="E26" s="260">
        <f>'3. Herramienta de costeo'!C138+'3. Herramienta de costeo'!C139+'3. Herramienta de costeo'!C141+'3. Herramienta de costeo'!C147+'3. Herramienta de costeo'!C163+'3. Herramienta de costeo'!C167*15+'3. Herramienta de costeo'!C169*15</f>
        <v>9364.58</v>
      </c>
      <c r="F26" s="260">
        <f>'3. Herramienta de costeo'!D138+'3. Herramienta de costeo'!D139+'3. Herramienta de costeo'!D141+'3. Herramienta de costeo'!D147+'3. Herramienta de costeo'!D163+'3. Herramienta de costeo'!D167*15+'3. Herramienta de costeo'!D169*15</f>
        <v>9364.58</v>
      </c>
      <c r="G26" s="260">
        <f>'3. Herramienta de costeo'!E138+'3. Herramienta de costeo'!E139+'3. Herramienta de costeo'!E141+'3. Herramienta de costeo'!E147+'3. Herramienta de costeo'!E163+'3. Herramienta de costeo'!E167*15+'3. Herramienta de costeo'!E169*15</f>
        <v>9364.58</v>
      </c>
      <c r="H26" s="260">
        <f>'3. Herramienta de costeo'!F138+'3. Herramienta de costeo'!F139+'3. Herramienta de costeo'!F141+'3. Herramienta de costeo'!F147+'3. Herramienta de costeo'!F163+'3. Herramienta de costeo'!F167*15+'3. Herramienta de costeo'!F169*15</f>
        <v>9364.58</v>
      </c>
      <c r="I26" s="260">
        <f>'3. Herramienta de costeo'!G138+'3. Herramienta de costeo'!G139+'3. Herramienta de costeo'!G141+'3. Herramienta de costeo'!G147+'3. Herramienta de costeo'!G163+'3. Herramienta de costeo'!G167*15+'3. Herramienta de costeo'!G169*15</f>
        <v>9364.58</v>
      </c>
    </row>
    <row r="27" spans="3:9" ht="28.5">
      <c r="C27" s="402"/>
      <c r="D27" s="25" t="s">
        <v>257</v>
      </c>
      <c r="E27" s="260">
        <f>'3. Herramienta de costeo'!C138+'3. Herramienta de costeo'!C139+'3. Herramienta de costeo'!C141+'3. Herramienta de costeo'!C153+'3. Herramienta de costeo'!C163+'3. Herramienta de costeo'!C167*15+'3. Herramienta de costeo'!C169*15</f>
        <v>6661.88</v>
      </c>
      <c r="F27" s="260">
        <f>'3. Herramienta de costeo'!D138+'3. Herramienta de costeo'!D139+'3. Herramienta de costeo'!D141+'3. Herramienta de costeo'!D153+'3. Herramienta de costeo'!D163+'3. Herramienta de costeo'!D167*15+'3. Herramienta de costeo'!D169*15</f>
        <v>6661.88</v>
      </c>
      <c r="G27" s="260">
        <f>'3. Herramienta de costeo'!E138+'3. Herramienta de costeo'!E139+'3. Herramienta de costeo'!E141+'3. Herramienta de costeo'!E153+'3. Herramienta de costeo'!E163+'3. Herramienta de costeo'!E167*15+'3. Herramienta de costeo'!E169*15</f>
        <v>6661.88</v>
      </c>
      <c r="H27" s="260">
        <f>'3. Herramienta de costeo'!F138+'3. Herramienta de costeo'!F139+'3. Herramienta de costeo'!F141+'3. Herramienta de costeo'!F153+'3. Herramienta de costeo'!F163+'3. Herramienta de costeo'!F167*15+'3. Herramienta de costeo'!F169*15</f>
        <v>6661.88</v>
      </c>
      <c r="I27" s="260">
        <f>'3. Herramienta de costeo'!G138+'3. Herramienta de costeo'!G139+'3. Herramienta de costeo'!G141+'3. Herramienta de costeo'!G153+'3. Herramienta de costeo'!G163+'3. Herramienta de costeo'!G167*15+'3. Herramienta de costeo'!G169*15</f>
        <v>6661.88</v>
      </c>
    </row>
    <row r="28" spans="3:9" ht="14.25">
      <c r="C28" s="402"/>
      <c r="D28" s="10" t="s">
        <v>234</v>
      </c>
      <c r="E28" s="260">
        <f>'3. Herramienta de costeo'!C138+'3. Herramienta de costeo'!C139+'3. Herramienta de costeo'!C141+'3. Herramienta de costeo'!C159+'3. Herramienta de costeo'!C163+'3. Herramienta de costeo'!C167*15+'3. Herramienta de costeo'!C169*15</f>
        <v>6661.88</v>
      </c>
      <c r="F28" s="260">
        <f>'3. Herramienta de costeo'!D138+'3. Herramienta de costeo'!D139+'3. Herramienta de costeo'!D141+'3. Herramienta de costeo'!D159+'3. Herramienta de costeo'!D163+'3. Herramienta de costeo'!D167*15+'3. Herramienta de costeo'!D169*15</f>
        <v>6661.88</v>
      </c>
      <c r="G28" s="260">
        <f>'3. Herramienta de costeo'!E138+'3. Herramienta de costeo'!E139+'3. Herramienta de costeo'!E141+'3. Herramienta de costeo'!E159+'3. Herramienta de costeo'!E163+'3. Herramienta de costeo'!E167*15+'3. Herramienta de costeo'!E169*15</f>
        <v>6661.88</v>
      </c>
      <c r="H28" s="260">
        <f>'3. Herramienta de costeo'!F138+'3. Herramienta de costeo'!F139+'3. Herramienta de costeo'!F141+'3. Herramienta de costeo'!F159+'3. Herramienta de costeo'!F163+'3. Herramienta de costeo'!F167*15+'3. Herramienta de costeo'!F169*15</f>
        <v>6661.88</v>
      </c>
      <c r="I28" s="260">
        <f>'3. Herramienta de costeo'!G138+'3. Herramienta de costeo'!G139+'3. Herramienta de costeo'!G141+'3. Herramienta de costeo'!G159+'3. Herramienta de costeo'!G163+'3. Herramienta de costeo'!G167*15+'3. Herramienta de costeo'!G169*15</f>
        <v>6661.88</v>
      </c>
    </row>
    <row r="29" spans="5:9" ht="14.25">
      <c r="E29" s="243"/>
      <c r="F29" s="243"/>
      <c r="G29" s="243"/>
      <c r="H29" s="243"/>
      <c r="I29" s="243"/>
    </row>
    <row r="30" spans="3:9" ht="14.25">
      <c r="C30" s="401" t="s">
        <v>376</v>
      </c>
      <c r="D30" s="25" t="s">
        <v>373</v>
      </c>
      <c r="E30" s="260">
        <f>'3. Herramienta de costeo'!C137+'3. Herramienta de costeo'!C140+'3. Herramienta de costeo'!C170</f>
        <v>89776.09524000005</v>
      </c>
      <c r="F30" s="260">
        <f>'3. Herramienta de costeo'!D137+'3. Herramienta de costeo'!D140+'3. Herramienta de costeo'!D170</f>
        <v>185239.91672000007</v>
      </c>
      <c r="G30" s="260">
        <f>'3. Herramienta de costeo'!E137+'3. Herramienta de costeo'!E140+'3. Herramienta de costeo'!E170</f>
        <v>273577.166</v>
      </c>
      <c r="H30" s="260">
        <f>'3. Herramienta de costeo'!F137+'3. Herramienta de costeo'!F140+'3. Herramienta de costeo'!F170</f>
        <v>350872.25912</v>
      </c>
      <c r="I30" s="260">
        <f>'3. Herramienta de costeo'!G137+'3. Herramienta de costeo'!G140+'3. Herramienta de costeo'!G170</f>
        <v>401951.8720000001</v>
      </c>
    </row>
    <row r="31" spans="3:9" ht="14.25">
      <c r="C31" s="401"/>
      <c r="D31" s="25" t="s">
        <v>374</v>
      </c>
      <c r="E31" s="27">
        <f>'3. Herramienta de costeo'!C148+'3. Herramienta de costeo'!C154+'3. Herramienta de costeo'!C160+'3. Herramienta de costeo'!C164+'3. Herramienta de costeo'!C178</f>
        <v>88805.31627445991</v>
      </c>
      <c r="F31" s="27">
        <f>'3. Herramienta de costeo'!D148+'3. Herramienta de costeo'!D154+'3. Herramienta de costeo'!D160+'3. Herramienta de costeo'!D164+'3. Herramienta de costeo'!D178</f>
        <v>171777.5641551108</v>
      </c>
      <c r="G31" s="27">
        <f>'3. Herramienta de costeo'!E148+'3. Herramienta de costeo'!E154+'3. Herramienta de costeo'!E160+'3. Herramienta de costeo'!E164+'3. Herramienta de costeo'!E178</f>
        <v>249735.11415219435</v>
      </c>
      <c r="H31" s="27">
        <f>'3. Herramienta de costeo'!F148+'3. Herramienta de costeo'!F154+'3. Herramienta de costeo'!F160+'3. Herramienta de costeo'!F164+'3. Herramienta de costeo'!F178</f>
        <v>317947.9703996425</v>
      </c>
      <c r="I31" s="27">
        <f>'3. Herramienta de costeo'!G148+'3. Herramienta de costeo'!G154+'3. Herramienta de costeo'!G160+'3. Herramienta de costeo'!G164+'3. Herramienta de costeo'!G178</f>
        <v>365574.6793178509</v>
      </c>
    </row>
    <row r="32" spans="3:9" ht="14.25">
      <c r="C32" s="401"/>
      <c r="D32" s="25" t="s">
        <v>233</v>
      </c>
      <c r="E32" s="27">
        <f>'3. Herramienta de costeo'!C142+'3. Herramienta de costeo'!C168</f>
        <v>22771.472335000013</v>
      </c>
      <c r="F32" s="27">
        <f>'3. Herramienta de costeo'!D142+'3. Herramienta de costeo'!D168</f>
        <v>46586.96913000001</v>
      </c>
      <c r="G32" s="27">
        <f>'3. Herramienta de costeo'!E142+'3. Herramienta de costeo'!E168</f>
        <v>68878.67025000001</v>
      </c>
      <c r="H32" s="27">
        <f>'3. Herramienta de costeo'!F142+'3. Herramienta de costeo'!F168</f>
        <v>88383.90873000001</v>
      </c>
      <c r="I32" s="27">
        <f>'3. Herramienta de costeo'!G142+'3. Herramienta de costeo'!G168</f>
        <v>101822.88800000002</v>
      </c>
    </row>
    <row r="33" spans="3:9" ht="14.25">
      <c r="C33" s="401"/>
      <c r="D33" s="28" t="s">
        <v>51</v>
      </c>
      <c r="E33" s="29">
        <f>SUM(E30:E32)</f>
        <v>201352.88384946</v>
      </c>
      <c r="F33" s="29">
        <f>SUM(F30:F32)</f>
        <v>403604.4500051108</v>
      </c>
      <c r="G33" s="29">
        <f>SUM(G30:G32)</f>
        <v>592190.9504021944</v>
      </c>
      <c r="H33" s="29">
        <f>SUM(H30:H32)</f>
        <v>757204.1382496424</v>
      </c>
      <c r="I33" s="29">
        <f>SUM(I30:I32)</f>
        <v>869349.4393178511</v>
      </c>
    </row>
  </sheetData>
  <sheetProtection sheet="1" selectLockedCells="1"/>
  <mergeCells count="7">
    <mergeCell ref="B2:C2"/>
    <mergeCell ref="C30:C33"/>
    <mergeCell ref="C5:C8"/>
    <mergeCell ref="C10:C14"/>
    <mergeCell ref="C20:C22"/>
    <mergeCell ref="C26:C28"/>
    <mergeCell ref="C18:D18"/>
  </mergeCells>
  <printOptions/>
  <pageMargins left="0.7" right="0.7" top="0.75" bottom="0.75" header="0.3" footer="0.3"/>
  <pageSetup horizontalDpi="1200" verticalDpi="1200" orientation="portrait" scale="57" r:id="rId1"/>
</worksheet>
</file>

<file path=xl/worksheets/sheet5.xml><?xml version="1.0" encoding="utf-8"?>
<worksheet xmlns="http://schemas.openxmlformats.org/spreadsheetml/2006/main" xmlns:r="http://schemas.openxmlformats.org/officeDocument/2006/relationships">
  <sheetPr>
    <tabColor indexed="24"/>
  </sheetPr>
  <dimension ref="B2:G48"/>
  <sheetViews>
    <sheetView showGridLines="0" zoomScalePageLayoutView="0" workbookViewId="0" topLeftCell="A31">
      <selection activeCell="P47" sqref="P47"/>
    </sheetView>
  </sheetViews>
  <sheetFormatPr defaultColWidth="9.00390625" defaultRowHeight="15"/>
  <cols>
    <col min="1" max="1" width="1.421875" style="1" customWidth="1"/>
    <col min="2" max="2" width="16.421875" style="22" customWidth="1"/>
    <col min="3" max="5" width="12.57421875" style="1" customWidth="1"/>
    <col min="6" max="6" width="16.8515625" style="1" customWidth="1"/>
    <col min="7" max="7" width="15.57421875" style="1" bestFit="1" customWidth="1"/>
    <col min="8" max="16384" width="9.00390625" style="1" customWidth="1"/>
  </cols>
  <sheetData>
    <row r="2" spans="2:3" ht="23.25" customHeight="1">
      <c r="B2" s="408" t="s">
        <v>455</v>
      </c>
      <c r="C2" s="409"/>
    </row>
    <row r="4" spans="2:4" ht="14.25">
      <c r="B4" s="410" t="s">
        <v>456</v>
      </c>
      <c r="C4" s="410"/>
      <c r="D4" s="410"/>
    </row>
    <row r="5" spans="3:7" s="22" customFormat="1" ht="42.75">
      <c r="C5" s="295" t="str">
        <f>'3. Herramienta de costeo'!C2</f>
        <v>Escenario Objetivo</v>
      </c>
      <c r="D5" s="295" t="str">
        <f>'3. Herramienta de costeo'!D2</f>
        <v>Escenario intermedio 2º</v>
      </c>
      <c r="E5" s="304" t="str">
        <f>'3. Herramienta de costeo'!E2</f>
        <v>Escenario intermedio 1º</v>
      </c>
      <c r="F5" s="304" t="str">
        <f>'3. Herramienta de costeo'!F2</f>
        <v>Escenario actual con datos de CPN</v>
      </c>
      <c r="G5" s="304" t="str">
        <f>'3. Herramienta de costeo'!G2</f>
        <v>Escenario actual sin datos de CPN</v>
      </c>
    </row>
    <row r="6" spans="2:7" ht="28.5">
      <c r="B6" s="25" t="str">
        <f>'3. Herramienta de costeo'!B101</f>
        <v>Costo total de PTMI</v>
      </c>
      <c r="C6" s="241">
        <f>'3. Herramienta de costeo'!C101</f>
        <v>553506.1212017863</v>
      </c>
      <c r="D6" s="241">
        <f>'3. Herramienta de costeo'!D101</f>
        <v>432629.19712665014</v>
      </c>
      <c r="E6" s="241">
        <f>'3. Herramienta de costeo'!E101</f>
        <v>349483.96385292825</v>
      </c>
      <c r="F6" s="241">
        <f>'3. Herramienta de costeo'!F101</f>
        <v>274937.50973842165</v>
      </c>
      <c r="G6" s="241">
        <f>'3. Herramienta de costeo'!G101</f>
        <v>254864.78131589392</v>
      </c>
    </row>
    <row r="7" spans="2:7" ht="42.75">
      <c r="B7" s="25" t="str">
        <f>'3. Herramienta de costeo'!B180</f>
        <v>Costos totales de tratamiento de VIH pediátrico</v>
      </c>
      <c r="C7" s="241">
        <f>'3. Herramienta de costeo'!C180</f>
        <v>201352.88384945996</v>
      </c>
      <c r="D7" s="241">
        <f>'3. Herramienta de costeo'!D180</f>
        <v>403604.4500051109</v>
      </c>
      <c r="E7" s="241">
        <f>'3. Herramienta de costeo'!E180</f>
        <v>592190.9504021944</v>
      </c>
      <c r="F7" s="241">
        <f>'3. Herramienta de costeo'!F180</f>
        <v>757204.1382496424</v>
      </c>
      <c r="G7" s="241">
        <f>'3. Herramienta de costeo'!G180</f>
        <v>869349.4393178511</v>
      </c>
    </row>
    <row r="16" spans="2:4" ht="14.25">
      <c r="B16" s="405" t="s">
        <v>238</v>
      </c>
      <c r="C16" s="406"/>
      <c r="D16" s="407"/>
    </row>
    <row r="17" spans="3:7" ht="42.75">
      <c r="C17" s="295" t="str">
        <f>'3. Herramienta de costeo'!C2</f>
        <v>Escenario Objetivo</v>
      </c>
      <c r="D17" s="295" t="str">
        <f>'3. Herramienta de costeo'!D2</f>
        <v>Escenario intermedio 2º</v>
      </c>
      <c r="E17" s="304" t="str">
        <f>'3. Herramienta de costeo'!E2</f>
        <v>Escenario intermedio 1º</v>
      </c>
      <c r="F17" s="304" t="str">
        <f>'3. Herramienta de costeo'!F2</f>
        <v>Escenario actual con datos de CPN</v>
      </c>
      <c r="G17" s="304" t="str">
        <f>'3. Herramienta de costeo'!G2</f>
        <v>Escenario actual sin datos de CPN</v>
      </c>
    </row>
    <row r="18" spans="2:7" ht="42.75">
      <c r="B18" s="25" t="s">
        <v>238</v>
      </c>
      <c r="C18" s="241">
        <f>'3. Herramienta de costeo'!C189</f>
        <v>3669.143750154467</v>
      </c>
      <c r="D18" s="241">
        <f>'3. Herramienta de costeo'!D189</f>
        <v>3446.5279679627583</v>
      </c>
      <c r="E18" s="241">
        <f>'3. Herramienta de costeo'!E189</f>
        <v>3431.1784120664056</v>
      </c>
      <c r="F18" s="241">
        <f>'3. Herramienta de costeo'!F189</f>
        <v>3388.2877455355065</v>
      </c>
      <c r="G18" s="241">
        <f>'3. Herramienta de costeo'!G189</f>
        <v>3806.67913304896</v>
      </c>
    </row>
    <row r="30" spans="2:4" ht="14.25">
      <c r="B30" s="405" t="s">
        <v>236</v>
      </c>
      <c r="C30" s="406"/>
      <c r="D30" s="407"/>
    </row>
    <row r="31" spans="3:7" ht="42.75">
      <c r="C31" s="295" t="str">
        <f>'3. Herramienta de costeo'!C2</f>
        <v>Escenario Objetivo</v>
      </c>
      <c r="D31" s="295" t="str">
        <f>'3. Herramienta de costeo'!D2</f>
        <v>Escenario intermedio 2º</v>
      </c>
      <c r="E31" s="304" t="str">
        <f>'3. Herramienta de costeo'!E2</f>
        <v>Escenario intermedio 1º</v>
      </c>
      <c r="F31" s="304" t="str">
        <f>'3. Herramienta de costeo'!F2</f>
        <v>Escenario actual con datos de CPN</v>
      </c>
      <c r="G31" s="304" t="str">
        <f>'3. Herramienta de costeo'!G2</f>
        <v>Escenario actual sin datos de CPN</v>
      </c>
    </row>
    <row r="32" spans="2:7" ht="28.5">
      <c r="B32" s="25" t="s">
        <v>237</v>
      </c>
      <c r="C32" s="241">
        <f>'3. Herramienta de costeo'!C191</f>
        <v>737633.0192837949</v>
      </c>
      <c r="D32" s="241">
        <f>'3. Herramienta de costeo'!D191</f>
        <v>604399.2765186868</v>
      </c>
      <c r="E32" s="241">
        <f>'3. Herramienta de costeo'!E191</f>
        <v>482203.63639073947</v>
      </c>
      <c r="F32" s="241">
        <f>'3. Herramienta de costeo'!F191</f>
        <v>384055.3408198353</v>
      </c>
      <c r="G32" s="241">
        <f>'3. Herramienta de costeo'!G191</f>
        <v>286937.0176676928</v>
      </c>
    </row>
    <row r="33" s="198" customFormat="1" ht="14.25">
      <c r="B33" s="198" t="s">
        <v>240</v>
      </c>
    </row>
    <row r="46" spans="2:4" ht="14.25">
      <c r="B46" s="405" t="s">
        <v>284</v>
      </c>
      <c r="C46" s="406"/>
      <c r="D46" s="407"/>
    </row>
    <row r="47" spans="3:7" ht="42.75">
      <c r="C47" s="295" t="str">
        <f>'3. Herramienta de costeo'!C2</f>
        <v>Escenario Objetivo</v>
      </c>
      <c r="D47" s="295" t="str">
        <f>'3. Herramienta de costeo'!D2</f>
        <v>Escenario intermedio 2º</v>
      </c>
      <c r="E47" s="304" t="str">
        <f>'3. Herramienta de costeo'!E2</f>
        <v>Escenario intermedio 1º</v>
      </c>
      <c r="F47" s="304" t="str">
        <f>'3. Herramienta de costeo'!F2</f>
        <v>Escenario actual con datos de CPN</v>
      </c>
      <c r="G47" s="304" t="str">
        <f>'3. Herramienta de costeo'!G2</f>
        <v>Escenario actual sin datos de CPN</v>
      </c>
    </row>
    <row r="48" spans="2:7" ht="57">
      <c r="B48" s="25" t="str">
        <f>'3. Herramienta de costeo'!B197</f>
        <v>Costo por caso de sífilis congénita evitado</v>
      </c>
      <c r="C48" s="241">
        <f>'3. Herramienta de costeo'!C197</f>
        <v>209.9710144927536</v>
      </c>
      <c r="D48" s="241">
        <f>'3. Herramienta de costeo'!D197</f>
        <v>221.6470588235294</v>
      </c>
      <c r="E48" s="241">
        <f>'3. Herramienta de costeo'!E197</f>
        <v>250.43478260869566</v>
      </c>
      <c r="F48" s="241">
        <f>'3. Herramienta de costeo'!F197</f>
        <v>288.0802675585284</v>
      </c>
      <c r="G48" s="241">
        <f>'3. Herramienta de costeo'!G197</f>
        <v>221.022120518688</v>
      </c>
    </row>
  </sheetData>
  <sheetProtection selectLockedCells="1"/>
  <mergeCells count="5">
    <mergeCell ref="B46:D46"/>
    <mergeCell ref="B2:C2"/>
    <mergeCell ref="B4:D4"/>
    <mergeCell ref="B16:D16"/>
    <mergeCell ref="B30:D30"/>
  </mergeCells>
  <printOptions/>
  <pageMargins left="0.7" right="0.7" top="0.75" bottom="0.75" header="0.3" footer="0.3"/>
  <pageSetup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theme="7" tint="0.5999900102615356"/>
    <pageSetUpPr fitToPage="1"/>
  </sheetPr>
  <dimension ref="A2:L37"/>
  <sheetViews>
    <sheetView showGridLines="0" zoomScale="90" zoomScaleNormal="90" zoomScalePageLayoutView="0" workbookViewId="0" topLeftCell="A13">
      <selection activeCell="D37" sqref="D37:E37"/>
    </sheetView>
  </sheetViews>
  <sheetFormatPr defaultColWidth="9.00390625" defaultRowHeight="15"/>
  <cols>
    <col min="1" max="1" width="0.85546875" style="1" customWidth="1"/>
    <col min="2" max="2" width="9.7109375" style="1" customWidth="1"/>
    <col min="3" max="3" width="15.8515625" style="22" customWidth="1"/>
    <col min="4" max="4" width="34.57421875" style="1" customWidth="1"/>
    <col min="5" max="5" width="56.57421875" style="1" customWidth="1"/>
    <col min="6" max="6" width="12.8515625" style="1" customWidth="1"/>
    <col min="7" max="7" width="10.7109375" style="1" customWidth="1"/>
    <col min="8" max="8" width="7.00390625" style="22" customWidth="1"/>
    <col min="9" max="9" width="8.421875" style="1" customWidth="1"/>
    <col min="10" max="10" width="12.8515625" style="1" customWidth="1"/>
    <col min="11" max="11" width="11.421875" style="1" customWidth="1"/>
    <col min="12" max="12" width="17.140625" style="1" customWidth="1"/>
    <col min="13" max="16384" width="9.00390625" style="1" customWidth="1"/>
  </cols>
  <sheetData>
    <row r="2" spans="2:10" ht="33" customHeight="1">
      <c r="B2" s="424" t="s">
        <v>457</v>
      </c>
      <c r="C2" s="425"/>
      <c r="D2" s="96" t="s">
        <v>87</v>
      </c>
      <c r="I2" s="395" t="s">
        <v>260</v>
      </c>
      <c r="J2" s="395"/>
    </row>
    <row r="3" spans="2:10" ht="16.5" customHeight="1">
      <c r="B3" s="221"/>
      <c r="C3" s="221"/>
      <c r="D3" s="5" t="s">
        <v>34</v>
      </c>
      <c r="E3" s="197">
        <f>'3. Herramienta de costeo'!C41</f>
        <v>0.26</v>
      </c>
      <c r="I3" s="199" t="s">
        <v>390</v>
      </c>
      <c r="J3" s="197">
        <f>'3. Herramienta de costeo'!F41</f>
        <v>5</v>
      </c>
    </row>
    <row r="4" spans="2:10" ht="16.5" customHeight="1">
      <c r="B4" s="221"/>
      <c r="C4" s="221"/>
      <c r="D4" s="199" t="s">
        <v>119</v>
      </c>
      <c r="E4" s="197">
        <f>'3. Herramienta de costeo'!C42</f>
        <v>0.01</v>
      </c>
      <c r="I4" s="199" t="s">
        <v>28</v>
      </c>
      <c r="J4" s="197">
        <f>'3. Herramienta de costeo'!F42</f>
        <v>20</v>
      </c>
    </row>
    <row r="5" spans="2:5" ht="16.5" customHeight="1">
      <c r="B5" s="221"/>
      <c r="C5" s="221"/>
      <c r="D5" s="199" t="s">
        <v>36</v>
      </c>
      <c r="E5" s="197">
        <f>'3. Herramienta de costeo'!C43</f>
        <v>0.11</v>
      </c>
    </row>
    <row r="6" spans="2:5" ht="16.5" customHeight="1">
      <c r="B6" s="221"/>
      <c r="C6" s="221"/>
      <c r="D6" s="199" t="s">
        <v>37</v>
      </c>
      <c r="E6" s="197">
        <f>'3. Herramienta de costeo'!C44</f>
        <v>0.14</v>
      </c>
    </row>
    <row r="7" spans="2:5" ht="16.5" customHeight="1">
      <c r="B7" s="221"/>
      <c r="C7" s="221"/>
      <c r="D7" s="199" t="s">
        <v>38</v>
      </c>
      <c r="E7" s="197">
        <f>'3. Herramienta de costeo'!C45</f>
        <v>0.18</v>
      </c>
    </row>
    <row r="8" spans="2:5" ht="16.5" customHeight="1">
      <c r="B8" s="221"/>
      <c r="C8" s="221"/>
      <c r="D8" s="199" t="s">
        <v>39</v>
      </c>
      <c r="E8" s="197">
        <f>'3. Herramienta de costeo'!C46</f>
        <v>0.14</v>
      </c>
    </row>
    <row r="9" spans="2:5" ht="16.5" customHeight="1">
      <c r="B9" s="221"/>
      <c r="C9" s="221"/>
      <c r="D9" s="199" t="s">
        <v>40</v>
      </c>
      <c r="E9" s="197">
        <f>'3. Herramienta de costeo'!C47</f>
        <v>0.29</v>
      </c>
    </row>
    <row r="10" spans="2:5" ht="16.5" customHeight="1">
      <c r="B10" s="221"/>
      <c r="C10" s="221"/>
      <c r="D10" s="199" t="s">
        <v>242</v>
      </c>
      <c r="E10" s="197">
        <f>'3. Herramienta de costeo'!C48</f>
        <v>0.01</v>
      </c>
    </row>
    <row r="11" spans="2:5" ht="16.5" customHeight="1">
      <c r="B11" s="221"/>
      <c r="C11" s="221"/>
      <c r="D11" s="199" t="s">
        <v>42</v>
      </c>
      <c r="E11" s="197">
        <f>'3. Herramienta de costeo'!C49</f>
        <v>0.58</v>
      </c>
    </row>
    <row r="12" spans="2:5" ht="16.5" customHeight="1">
      <c r="B12" s="221"/>
      <c r="C12" s="221"/>
      <c r="D12" s="199" t="s">
        <v>43</v>
      </c>
      <c r="E12" s="197">
        <f>'3. Herramienta de costeo'!C50</f>
        <v>0.66</v>
      </c>
    </row>
    <row r="13" spans="2:4" ht="27" customHeight="1">
      <c r="B13" s="221"/>
      <c r="C13" s="221"/>
      <c r="D13" s="222"/>
    </row>
    <row r="14" spans="4:12" ht="71.25">
      <c r="D14" s="426" t="s">
        <v>73</v>
      </c>
      <c r="E14" s="427"/>
      <c r="F14" s="306" t="s">
        <v>243</v>
      </c>
      <c r="G14" s="307" t="s">
        <v>459</v>
      </c>
      <c r="H14" s="308" t="s">
        <v>421</v>
      </c>
      <c r="I14" s="306" t="s">
        <v>462</v>
      </c>
      <c r="J14" s="308" t="s">
        <v>461</v>
      </c>
      <c r="K14" s="306" t="s">
        <v>460</v>
      </c>
      <c r="L14" s="308" t="s">
        <v>422</v>
      </c>
    </row>
    <row r="15" spans="1:12" ht="14.25">
      <c r="A15" s="223"/>
      <c r="B15" s="412" t="s">
        <v>463</v>
      </c>
      <c r="C15" s="418" t="s">
        <v>74</v>
      </c>
      <c r="D15" s="25" t="s">
        <v>67</v>
      </c>
      <c r="E15" s="13" t="s">
        <v>417</v>
      </c>
      <c r="F15" s="11">
        <f>2*7*25</f>
        <v>350</v>
      </c>
      <c r="G15" s="11">
        <f>F15*(100+$J$3)/100</f>
        <v>367.5</v>
      </c>
      <c r="H15" s="10" t="s">
        <v>423</v>
      </c>
      <c r="I15" s="224">
        <f>'3. Herramienta de costeo'!C45</f>
        <v>0.18</v>
      </c>
      <c r="J15" s="24">
        <f>I15*G15</f>
        <v>66.14999999999999</v>
      </c>
      <c r="K15" s="24">
        <f>I15*G15</f>
        <v>66.14999999999999</v>
      </c>
      <c r="L15" s="11"/>
    </row>
    <row r="16" spans="1:12" ht="14.25" customHeight="1">
      <c r="A16" s="223"/>
      <c r="B16" s="413"/>
      <c r="C16" s="419"/>
      <c r="D16" s="421" t="s">
        <v>68</v>
      </c>
      <c r="E16" s="13" t="s">
        <v>416</v>
      </c>
      <c r="F16" s="11">
        <f>2*7*25</f>
        <v>350</v>
      </c>
      <c r="G16" s="11">
        <f>F16*(100+$J$3)/100</f>
        <v>367.5</v>
      </c>
      <c r="H16" s="10" t="s">
        <v>423</v>
      </c>
      <c r="I16" s="11">
        <f>'3. Herramienta de costeo'!$C$44</f>
        <v>0.14</v>
      </c>
      <c r="J16" s="24">
        <f>I16*G16</f>
        <v>51.45</v>
      </c>
      <c r="K16" s="24">
        <f>I16*G16</f>
        <v>51.45</v>
      </c>
      <c r="L16" s="11"/>
    </row>
    <row r="17" spans="1:12" ht="14.25" customHeight="1">
      <c r="A17" s="223"/>
      <c r="B17" s="413"/>
      <c r="C17" s="420"/>
      <c r="D17" s="421"/>
      <c r="E17" s="11" t="s">
        <v>419</v>
      </c>
      <c r="F17" s="11">
        <f>2*2*7*25</f>
        <v>700</v>
      </c>
      <c r="G17" s="11">
        <f>F17*(100+$J$3)/100</f>
        <v>735</v>
      </c>
      <c r="H17" s="10" t="s">
        <v>423</v>
      </c>
      <c r="I17" s="11">
        <f>'3. Herramienta de costeo'!$C$47</f>
        <v>0.29</v>
      </c>
      <c r="J17" s="24">
        <f>I17*G17</f>
        <v>213.14999999999998</v>
      </c>
      <c r="K17" s="24">
        <f>I17*G17</f>
        <v>213.14999999999998</v>
      </c>
      <c r="L17" s="11"/>
    </row>
    <row r="18" spans="1:12" ht="36" customHeight="1">
      <c r="A18" s="72"/>
      <c r="B18" s="413"/>
      <c r="C18" s="225" t="s">
        <v>75</v>
      </c>
      <c r="D18" s="422" t="s">
        <v>248</v>
      </c>
      <c r="E18" s="423"/>
      <c r="F18" s="11">
        <f>15*42/10</f>
        <v>63</v>
      </c>
      <c r="G18" s="11">
        <f>F18*(100+$J$4)/100</f>
        <v>75.6</v>
      </c>
      <c r="H18" s="10" t="s">
        <v>249</v>
      </c>
      <c r="I18" s="11">
        <f>'3. Herramienta de costeo'!C48</f>
        <v>0.01</v>
      </c>
      <c r="J18" s="11">
        <f>I18*100</f>
        <v>1</v>
      </c>
      <c r="K18" s="11">
        <f>I18*100</f>
        <v>1</v>
      </c>
      <c r="L18" s="13" t="s">
        <v>250</v>
      </c>
    </row>
    <row r="19" spans="2:12" ht="28.5" customHeight="1">
      <c r="B19" s="414"/>
      <c r="C19" s="225" t="s">
        <v>75</v>
      </c>
      <c r="D19" s="422" t="s">
        <v>251</v>
      </c>
      <c r="E19" s="423"/>
      <c r="F19" s="11">
        <f>15*2*42/10</f>
        <v>126</v>
      </c>
      <c r="G19" s="11">
        <f>F19*(100+$J$4)/100</f>
        <v>151.2</v>
      </c>
      <c r="H19" s="10" t="s">
        <v>249</v>
      </c>
      <c r="I19" s="11">
        <f>'3. Herramienta de costeo'!C42</f>
        <v>0.01</v>
      </c>
      <c r="J19" s="11">
        <f>I19*200</f>
        <v>2</v>
      </c>
      <c r="K19" s="11">
        <f>I19*200</f>
        <v>2</v>
      </c>
      <c r="L19" s="13" t="s">
        <v>252</v>
      </c>
    </row>
    <row r="20" spans="2:12" ht="14.25" customHeight="1">
      <c r="B20" s="415" t="s">
        <v>241</v>
      </c>
      <c r="C20" s="402" t="s">
        <v>420</v>
      </c>
      <c r="D20" s="421" t="s">
        <v>68</v>
      </c>
      <c r="E20" s="13" t="s">
        <v>4</v>
      </c>
      <c r="F20" s="11">
        <f>2*7*80</f>
        <v>1120</v>
      </c>
      <c r="G20" s="11">
        <f aca="true" t="shared" si="0" ref="G20:G35">F20*(100+$J$3)/100</f>
        <v>1176</v>
      </c>
      <c r="H20" s="10" t="s">
        <v>423</v>
      </c>
      <c r="I20" s="11">
        <f>'3. Herramienta de costeo'!C44</f>
        <v>0.14</v>
      </c>
      <c r="J20" s="11">
        <f aca="true" t="shared" si="1" ref="J20:J35">I20*G20</f>
        <v>164.64000000000001</v>
      </c>
      <c r="K20" s="226">
        <f aca="true" t="shared" si="2" ref="K20:K27">I20*G20*52/80+I20*G20*28/80/1.03</f>
        <v>162.96163106796118</v>
      </c>
      <c r="L20" s="11"/>
    </row>
    <row r="21" spans="2:12" ht="14.25">
      <c r="B21" s="416"/>
      <c r="C21" s="402"/>
      <c r="D21" s="421"/>
      <c r="E21" s="11" t="s">
        <v>5</v>
      </c>
      <c r="F21" s="11">
        <f>2*2*7*80</f>
        <v>2240</v>
      </c>
      <c r="G21" s="11">
        <f t="shared" si="0"/>
        <v>2352</v>
      </c>
      <c r="H21" s="10" t="s">
        <v>423</v>
      </c>
      <c r="I21" s="11">
        <f>'3. Herramienta de costeo'!C47</f>
        <v>0.29</v>
      </c>
      <c r="J21" s="11">
        <f t="shared" si="1"/>
        <v>682.0799999999999</v>
      </c>
      <c r="K21" s="226">
        <f t="shared" si="2"/>
        <v>675.1267572815534</v>
      </c>
      <c r="L21" s="11"/>
    </row>
    <row r="22" spans="2:12" ht="14.25">
      <c r="B22" s="416"/>
      <c r="C22" s="402"/>
      <c r="D22" s="421" t="s">
        <v>69</v>
      </c>
      <c r="E22" s="13" t="s">
        <v>4</v>
      </c>
      <c r="F22" s="11">
        <f>2*7*80</f>
        <v>1120</v>
      </c>
      <c r="G22" s="11">
        <f t="shared" si="0"/>
        <v>1176</v>
      </c>
      <c r="H22" s="10" t="s">
        <v>423</v>
      </c>
      <c r="I22" s="11">
        <f>'3. Herramienta de costeo'!C44</f>
        <v>0.14</v>
      </c>
      <c r="J22" s="11">
        <f t="shared" si="1"/>
        <v>164.64000000000001</v>
      </c>
      <c r="K22" s="226">
        <f t="shared" si="2"/>
        <v>162.96163106796118</v>
      </c>
      <c r="L22" s="11"/>
    </row>
    <row r="23" spans="2:12" ht="14.25">
      <c r="B23" s="416"/>
      <c r="C23" s="402"/>
      <c r="D23" s="421"/>
      <c r="E23" s="11" t="s">
        <v>6</v>
      </c>
      <c r="F23" s="11">
        <f>2*7*80</f>
        <v>1120</v>
      </c>
      <c r="G23" s="11">
        <f t="shared" si="0"/>
        <v>1176</v>
      </c>
      <c r="H23" s="10" t="s">
        <v>423</v>
      </c>
      <c r="I23" s="11">
        <f>'3. Herramienta de costeo'!C41</f>
        <v>0.26</v>
      </c>
      <c r="J23" s="11">
        <f t="shared" si="1"/>
        <v>305.76</v>
      </c>
      <c r="K23" s="226">
        <f t="shared" si="2"/>
        <v>302.6430291262136</v>
      </c>
      <c r="L23" s="11"/>
    </row>
    <row r="24" spans="2:12" ht="14.25">
      <c r="B24" s="416"/>
      <c r="C24" s="402"/>
      <c r="D24" s="421" t="s">
        <v>70</v>
      </c>
      <c r="E24" s="13" t="s">
        <v>4</v>
      </c>
      <c r="F24" s="11">
        <f>2*7*80</f>
        <v>1120</v>
      </c>
      <c r="G24" s="11">
        <f t="shared" si="0"/>
        <v>1176</v>
      </c>
      <c r="H24" s="10" t="s">
        <v>423</v>
      </c>
      <c r="I24" s="11">
        <f>'3. Herramienta de costeo'!C44</f>
        <v>0.14</v>
      </c>
      <c r="J24" s="11">
        <f t="shared" si="1"/>
        <v>164.64000000000001</v>
      </c>
      <c r="K24" s="226">
        <f t="shared" si="2"/>
        <v>162.96163106796118</v>
      </c>
      <c r="L24" s="11"/>
    </row>
    <row r="25" spans="2:12" ht="14.25">
      <c r="B25" s="416"/>
      <c r="C25" s="402"/>
      <c r="D25" s="421"/>
      <c r="E25" s="12" t="s">
        <v>7</v>
      </c>
      <c r="F25" s="11">
        <f>7*80</f>
        <v>560</v>
      </c>
      <c r="G25" s="11">
        <f t="shared" si="0"/>
        <v>588</v>
      </c>
      <c r="H25" s="10" t="s">
        <v>423</v>
      </c>
      <c r="I25" s="11">
        <f>'3. Herramienta de costeo'!C46</f>
        <v>0.14</v>
      </c>
      <c r="J25" s="11">
        <f t="shared" si="1"/>
        <v>82.32000000000001</v>
      </c>
      <c r="K25" s="226">
        <f t="shared" si="2"/>
        <v>81.48081553398059</v>
      </c>
      <c r="L25" s="11"/>
    </row>
    <row r="26" spans="2:12" ht="14.25">
      <c r="B26" s="416"/>
      <c r="C26" s="402"/>
      <c r="D26" s="25" t="s">
        <v>71</v>
      </c>
      <c r="E26" s="12" t="s">
        <v>8</v>
      </c>
      <c r="F26" s="11">
        <f>7*80</f>
        <v>560</v>
      </c>
      <c r="G26" s="11">
        <f t="shared" si="0"/>
        <v>588</v>
      </c>
      <c r="H26" s="10" t="s">
        <v>423</v>
      </c>
      <c r="I26" s="11">
        <f>'3. Herramienta de costeo'!C49</f>
        <v>0.58</v>
      </c>
      <c r="J26" s="11">
        <f t="shared" si="1"/>
        <v>341.03999999999996</v>
      </c>
      <c r="K26" s="226">
        <f t="shared" si="2"/>
        <v>337.5633786407767</v>
      </c>
      <c r="L26" s="11"/>
    </row>
    <row r="27" spans="2:12" ht="14.25">
      <c r="B27" s="416"/>
      <c r="C27" s="402"/>
      <c r="D27" s="25" t="s">
        <v>72</v>
      </c>
      <c r="E27" s="12" t="s">
        <v>9</v>
      </c>
      <c r="F27" s="11">
        <f>7*80</f>
        <v>560</v>
      </c>
      <c r="G27" s="11">
        <f t="shared" si="0"/>
        <v>588</v>
      </c>
      <c r="H27" s="10" t="s">
        <v>423</v>
      </c>
      <c r="I27" s="11">
        <f>'3. Herramienta de costeo'!C50</f>
        <v>0.66</v>
      </c>
      <c r="J27" s="11">
        <f t="shared" si="1"/>
        <v>388.08000000000004</v>
      </c>
      <c r="K27" s="226">
        <f t="shared" si="2"/>
        <v>384.1238446601942</v>
      </c>
      <c r="L27" s="11"/>
    </row>
    <row r="28" spans="2:12" ht="14.25">
      <c r="B28" s="416"/>
      <c r="C28" s="402" t="s">
        <v>76</v>
      </c>
      <c r="D28" s="421" t="s">
        <v>68</v>
      </c>
      <c r="E28" s="13" t="s">
        <v>4</v>
      </c>
      <c r="F28" s="11">
        <f>2*7*25</f>
        <v>350</v>
      </c>
      <c r="G28" s="11">
        <f t="shared" si="0"/>
        <v>367.5</v>
      </c>
      <c r="H28" s="10" t="s">
        <v>423</v>
      </c>
      <c r="I28" s="11">
        <f>'3. Herramienta de costeo'!$C$44</f>
        <v>0.14</v>
      </c>
      <c r="J28" s="24">
        <f t="shared" si="1"/>
        <v>51.45</v>
      </c>
      <c r="K28" s="24">
        <f aca="true" t="shared" si="3" ref="K28:K35">I28*G28</f>
        <v>51.45</v>
      </c>
      <c r="L28" s="11"/>
    </row>
    <row r="29" spans="2:12" ht="14.25">
      <c r="B29" s="416"/>
      <c r="C29" s="402"/>
      <c r="D29" s="421"/>
      <c r="E29" s="11" t="s">
        <v>424</v>
      </c>
      <c r="F29" s="11">
        <f>2*2*7*25</f>
        <v>700</v>
      </c>
      <c r="G29" s="11">
        <f t="shared" si="0"/>
        <v>735</v>
      </c>
      <c r="H29" s="10" t="s">
        <v>423</v>
      </c>
      <c r="I29" s="11">
        <f>'3. Herramienta de costeo'!$C$47</f>
        <v>0.29</v>
      </c>
      <c r="J29" s="24">
        <f t="shared" si="1"/>
        <v>213.14999999999998</v>
      </c>
      <c r="K29" s="24">
        <f t="shared" si="3"/>
        <v>213.14999999999998</v>
      </c>
      <c r="L29" s="11"/>
    </row>
    <row r="30" spans="2:12" ht="14.25">
      <c r="B30" s="416"/>
      <c r="C30" s="402"/>
      <c r="D30" s="421" t="s">
        <v>69</v>
      </c>
      <c r="E30" s="13" t="s">
        <v>4</v>
      </c>
      <c r="F30" s="11">
        <f>2*7*25</f>
        <v>350</v>
      </c>
      <c r="G30" s="11">
        <f t="shared" si="0"/>
        <v>367.5</v>
      </c>
      <c r="H30" s="10" t="s">
        <v>423</v>
      </c>
      <c r="I30" s="11">
        <f>'3. Herramienta de costeo'!C44</f>
        <v>0.14</v>
      </c>
      <c r="J30" s="24">
        <f t="shared" si="1"/>
        <v>51.45</v>
      </c>
      <c r="K30" s="24">
        <f t="shared" si="3"/>
        <v>51.45</v>
      </c>
      <c r="L30" s="11"/>
    </row>
    <row r="31" spans="2:12" ht="14.25">
      <c r="B31" s="416"/>
      <c r="C31" s="402"/>
      <c r="D31" s="421"/>
      <c r="E31" s="11" t="s">
        <v>6</v>
      </c>
      <c r="F31" s="11">
        <f>2*7*25</f>
        <v>350</v>
      </c>
      <c r="G31" s="11">
        <f t="shared" si="0"/>
        <v>367.5</v>
      </c>
      <c r="H31" s="10" t="s">
        <v>423</v>
      </c>
      <c r="I31" s="11">
        <f>'3. Herramienta de costeo'!C41</f>
        <v>0.26</v>
      </c>
      <c r="J31" s="24">
        <f t="shared" si="1"/>
        <v>95.55</v>
      </c>
      <c r="K31" s="24">
        <f t="shared" si="3"/>
        <v>95.55</v>
      </c>
      <c r="L31" s="11"/>
    </row>
    <row r="32" spans="2:12" ht="14.25">
      <c r="B32" s="416"/>
      <c r="C32" s="402"/>
      <c r="D32" s="421" t="s">
        <v>70</v>
      </c>
      <c r="E32" s="13" t="s">
        <v>4</v>
      </c>
      <c r="F32" s="11">
        <f>2*7*25</f>
        <v>350</v>
      </c>
      <c r="G32" s="11">
        <f t="shared" si="0"/>
        <v>367.5</v>
      </c>
      <c r="H32" s="10" t="s">
        <v>423</v>
      </c>
      <c r="I32" s="11">
        <f>'3. Herramienta de costeo'!C44</f>
        <v>0.14</v>
      </c>
      <c r="J32" s="24">
        <f t="shared" si="1"/>
        <v>51.45</v>
      </c>
      <c r="K32" s="24">
        <f t="shared" si="3"/>
        <v>51.45</v>
      </c>
      <c r="L32" s="11"/>
    </row>
    <row r="33" spans="2:12" ht="14.25">
      <c r="B33" s="416"/>
      <c r="C33" s="402"/>
      <c r="D33" s="421"/>
      <c r="E33" s="12" t="s">
        <v>7</v>
      </c>
      <c r="F33" s="11">
        <f>1*7*25</f>
        <v>175</v>
      </c>
      <c r="G33" s="11">
        <f t="shared" si="0"/>
        <v>183.75</v>
      </c>
      <c r="H33" s="10" t="s">
        <v>423</v>
      </c>
      <c r="I33" s="11">
        <f>'3. Herramienta de costeo'!C46</f>
        <v>0.14</v>
      </c>
      <c r="J33" s="24">
        <f t="shared" si="1"/>
        <v>25.725</v>
      </c>
      <c r="K33" s="24">
        <f t="shared" si="3"/>
        <v>25.725</v>
      </c>
      <c r="L33" s="11"/>
    </row>
    <row r="34" spans="2:12" ht="14.25">
      <c r="B34" s="416"/>
      <c r="C34" s="402"/>
      <c r="D34" s="25" t="s">
        <v>71</v>
      </c>
      <c r="E34" s="12" t="s">
        <v>8</v>
      </c>
      <c r="F34" s="11">
        <f>1*7*25</f>
        <v>175</v>
      </c>
      <c r="G34" s="11">
        <f t="shared" si="0"/>
        <v>183.75</v>
      </c>
      <c r="H34" s="10" t="s">
        <v>423</v>
      </c>
      <c r="I34" s="11">
        <f>'3. Herramienta de costeo'!C49</f>
        <v>0.58</v>
      </c>
      <c r="J34" s="24">
        <f t="shared" si="1"/>
        <v>106.57499999999999</v>
      </c>
      <c r="K34" s="24">
        <f t="shared" si="3"/>
        <v>106.57499999999999</v>
      </c>
      <c r="L34" s="11"/>
    </row>
    <row r="35" spans="2:12" ht="14.25">
      <c r="B35" s="416"/>
      <c r="C35" s="402"/>
      <c r="D35" s="25" t="s">
        <v>72</v>
      </c>
      <c r="E35" s="12" t="s">
        <v>9</v>
      </c>
      <c r="F35" s="11">
        <f>1*7*25</f>
        <v>175</v>
      </c>
      <c r="G35" s="11">
        <f t="shared" si="0"/>
        <v>183.75</v>
      </c>
      <c r="H35" s="10" t="s">
        <v>423</v>
      </c>
      <c r="I35" s="11">
        <f>'3. Herramienta de costeo'!C50</f>
        <v>0.66</v>
      </c>
      <c r="J35" s="24">
        <f t="shared" si="1"/>
        <v>121.275</v>
      </c>
      <c r="K35" s="24">
        <f t="shared" si="3"/>
        <v>121.275</v>
      </c>
      <c r="L35" s="11"/>
    </row>
    <row r="36" spans="2:12" ht="14.25">
      <c r="B36" s="416"/>
      <c r="C36" s="200" t="s">
        <v>75</v>
      </c>
      <c r="D36" s="411" t="s">
        <v>253</v>
      </c>
      <c r="E36" s="411"/>
      <c r="F36" s="11">
        <f>15*42/10</f>
        <v>63</v>
      </c>
      <c r="G36" s="11">
        <f>F36*(100+$J$4)/100</f>
        <v>75.6</v>
      </c>
      <c r="H36" s="10" t="s">
        <v>249</v>
      </c>
      <c r="I36" s="11">
        <f>'3. Herramienta de costeo'!C48</f>
        <v>0.01</v>
      </c>
      <c r="J36" s="11">
        <f>I36*100</f>
        <v>1</v>
      </c>
      <c r="K36" s="11">
        <f>I36*100</f>
        <v>1</v>
      </c>
      <c r="L36" s="13" t="s">
        <v>250</v>
      </c>
    </row>
    <row r="37" spans="2:12" ht="24.75" customHeight="1">
      <c r="B37" s="417"/>
      <c r="C37" s="200" t="s">
        <v>75</v>
      </c>
      <c r="D37" s="411" t="s">
        <v>254</v>
      </c>
      <c r="E37" s="411"/>
      <c r="F37" s="11">
        <f>15*2*42/10</f>
        <v>126</v>
      </c>
      <c r="G37" s="11">
        <f>F37*(100+$J$4)/100</f>
        <v>151.2</v>
      </c>
      <c r="H37" s="10" t="s">
        <v>249</v>
      </c>
      <c r="I37" s="11">
        <f>'3. Herramienta de costeo'!C42</f>
        <v>0.01</v>
      </c>
      <c r="J37" s="11">
        <f>I37*200</f>
        <v>2</v>
      </c>
      <c r="K37" s="11">
        <f>I37*200</f>
        <v>2</v>
      </c>
      <c r="L37" s="13" t="s">
        <v>252</v>
      </c>
    </row>
  </sheetData>
  <sheetProtection sheet="1" objects="1" scenarios="1" selectLockedCells="1"/>
  <mergeCells count="19">
    <mergeCell ref="I2:J2"/>
    <mergeCell ref="B2:C2"/>
    <mergeCell ref="C20:C27"/>
    <mergeCell ref="C28:C35"/>
    <mergeCell ref="D28:D29"/>
    <mergeCell ref="D30:D31"/>
    <mergeCell ref="D32:D33"/>
    <mergeCell ref="D14:E14"/>
    <mergeCell ref="D20:D21"/>
    <mergeCell ref="D22:D23"/>
    <mergeCell ref="D37:E37"/>
    <mergeCell ref="B15:B19"/>
    <mergeCell ref="B20:B37"/>
    <mergeCell ref="C15:C17"/>
    <mergeCell ref="D16:D17"/>
    <mergeCell ref="D24:D25"/>
    <mergeCell ref="D18:E18"/>
    <mergeCell ref="D19:E19"/>
    <mergeCell ref="D36:E36"/>
  </mergeCells>
  <printOptions/>
  <pageMargins left="0.7" right="0.7" top="0.75" bottom="0.75" header="0.3" footer="0.3"/>
  <pageSetup fitToHeight="1" fitToWidth="1" orientation="landscape" paperSize="9" scale="66" r:id="rId1"/>
  <ignoredErrors>
    <ignoredError sqref="F21 I21 I23 I31" formula="1"/>
  </ignoredErrors>
</worksheet>
</file>

<file path=xl/worksheets/sheet7.xml><?xml version="1.0" encoding="utf-8"?>
<worksheet xmlns="http://schemas.openxmlformats.org/spreadsheetml/2006/main" xmlns:r="http://schemas.openxmlformats.org/officeDocument/2006/relationships">
  <sheetPr>
    <tabColor indexed="13"/>
  </sheetPr>
  <dimension ref="B2:H18"/>
  <sheetViews>
    <sheetView showGridLines="0" zoomScalePageLayoutView="0" workbookViewId="0" topLeftCell="A1">
      <selection activeCell="E24" sqref="E24:E25"/>
    </sheetView>
  </sheetViews>
  <sheetFormatPr defaultColWidth="9.140625" defaultRowHeight="15"/>
  <cols>
    <col min="1" max="1" width="4.140625" style="1" customWidth="1"/>
    <col min="2" max="2" width="24.7109375" style="1" customWidth="1"/>
    <col min="3" max="3" width="41.7109375" style="1" customWidth="1"/>
    <col min="4" max="4" width="12.00390625" style="1" customWidth="1"/>
    <col min="5" max="6" width="16.421875" style="1" customWidth="1"/>
    <col min="7" max="7" width="18.00390625" style="1" customWidth="1"/>
    <col min="8" max="8" width="11.7109375" style="1" customWidth="1"/>
    <col min="9" max="16384" width="9.140625" style="1" customWidth="1"/>
  </cols>
  <sheetData>
    <row r="2" ht="37.5" customHeight="1">
      <c r="B2" s="114" t="s">
        <v>464</v>
      </c>
    </row>
    <row r="3" spans="2:4" ht="21.75" customHeight="1">
      <c r="B3" s="4"/>
      <c r="C3" s="5" t="str">
        <f>'3. Herramienta de costeo'!B75</f>
        <v>Gramos de polvo por lata </v>
      </c>
      <c r="D3" s="6">
        <f>'3. Herramienta de costeo'!C75</f>
        <v>900</v>
      </c>
    </row>
    <row r="4" spans="2:4" ht="15" customHeight="1">
      <c r="B4" s="4"/>
      <c r="C4" s="5" t="str">
        <f>'3. Herramienta de costeo'!B76</f>
        <v>Costo unitario por lata (en USD)</v>
      </c>
      <c r="D4" s="6">
        <f>'3. Herramienta de costeo'!C76</f>
        <v>15</v>
      </c>
    </row>
    <row r="5" spans="2:4" ht="30" customHeight="1">
      <c r="B5" s="4"/>
      <c r="C5" s="5" t="str">
        <f>'3. Herramienta de costeo'!B77</f>
        <v>Gramos de polvo por 50mL de agua </v>
      </c>
      <c r="D5" s="7">
        <f>'3. Herramienta de costeo'!C77</f>
        <v>7.9</v>
      </c>
    </row>
    <row r="6" ht="26.25" customHeight="1">
      <c r="B6" s="4"/>
    </row>
    <row r="7" spans="3:8" ht="57">
      <c r="C7" s="308" t="s">
        <v>425</v>
      </c>
      <c r="D7" s="309" t="s">
        <v>89</v>
      </c>
      <c r="E7" s="306" t="s">
        <v>90</v>
      </c>
      <c r="F7" s="306" t="str">
        <f>'3. Herramienta de costeo'!B75</f>
        <v>Gramos de polvo por lata </v>
      </c>
      <c r="G7" s="306" t="str">
        <f>C4</f>
        <v>Costo unitario por lata (en USD)</v>
      </c>
      <c r="H7" s="306" t="s">
        <v>88</v>
      </c>
    </row>
    <row r="8" spans="2:8" ht="14.25">
      <c r="B8" s="8" t="s">
        <v>426</v>
      </c>
      <c r="C8" s="9" t="s">
        <v>187</v>
      </c>
      <c r="D8" s="242">
        <f>D5*1*7*7</f>
        <v>387.1</v>
      </c>
      <c r="E8" s="242">
        <f>D8</f>
        <v>387.1</v>
      </c>
      <c r="F8" s="429">
        <f>'3. Herramienta de costeo'!C75</f>
        <v>900</v>
      </c>
      <c r="G8" s="429">
        <f>'3. Herramienta de costeo'!C76</f>
        <v>15</v>
      </c>
      <c r="H8" s="11"/>
    </row>
    <row r="9" spans="2:8" ht="14.25">
      <c r="B9" s="8" t="s">
        <v>427</v>
      </c>
      <c r="C9" s="13" t="s">
        <v>188</v>
      </c>
      <c r="D9" s="242">
        <f>D5*2*6*7</f>
        <v>663.6000000000001</v>
      </c>
      <c r="E9" s="242">
        <f aca="true" t="shared" si="0" ref="E9:E15">E8+D9</f>
        <v>1050.7000000000003</v>
      </c>
      <c r="F9" s="429"/>
      <c r="G9" s="429"/>
      <c r="H9" s="11"/>
    </row>
    <row r="10" spans="2:8" ht="14.25">
      <c r="B10" s="8" t="s">
        <v>186</v>
      </c>
      <c r="C10" s="13" t="s">
        <v>189</v>
      </c>
      <c r="D10" s="242">
        <f>D5*2*6*14</f>
        <v>1327.2000000000003</v>
      </c>
      <c r="E10" s="242">
        <f t="shared" si="0"/>
        <v>2377.9000000000005</v>
      </c>
      <c r="F10" s="429"/>
      <c r="G10" s="429"/>
      <c r="H10" s="11"/>
    </row>
    <row r="11" spans="2:8" ht="14.25">
      <c r="B11" s="8" t="s">
        <v>428</v>
      </c>
      <c r="C11" s="13" t="s">
        <v>190</v>
      </c>
      <c r="D11" s="242">
        <f>D5*3*5*30</f>
        <v>3555.0000000000005</v>
      </c>
      <c r="E11" s="242">
        <f t="shared" si="0"/>
        <v>5932.9000000000015</v>
      </c>
      <c r="F11" s="429"/>
      <c r="G11" s="429"/>
      <c r="H11" s="11"/>
    </row>
    <row r="12" spans="2:8" ht="14.25">
      <c r="B12" s="8" t="s">
        <v>429</v>
      </c>
      <c r="C12" s="13" t="s">
        <v>191</v>
      </c>
      <c r="D12" s="242">
        <f>D5*4*5*60</f>
        <v>9480</v>
      </c>
      <c r="E12" s="242">
        <f t="shared" si="0"/>
        <v>15412.900000000001</v>
      </c>
      <c r="F12" s="429"/>
      <c r="G12" s="429"/>
      <c r="H12" s="11"/>
    </row>
    <row r="13" spans="2:8" ht="14.25">
      <c r="B13" s="14" t="s">
        <v>430</v>
      </c>
      <c r="C13" s="13" t="s">
        <v>191</v>
      </c>
      <c r="D13" s="242">
        <f>D5*4*5*60</f>
        <v>9480</v>
      </c>
      <c r="E13" s="242">
        <f t="shared" si="0"/>
        <v>24892.9</v>
      </c>
      <c r="F13" s="429"/>
      <c r="G13" s="429"/>
      <c r="H13" s="15">
        <f>E13/F8*G8</f>
        <v>414.88166666666666</v>
      </c>
    </row>
    <row r="14" spans="2:8" ht="14.25">
      <c r="B14" s="16" t="s">
        <v>431</v>
      </c>
      <c r="C14" s="13" t="s">
        <v>192</v>
      </c>
      <c r="D14" s="242">
        <f>D5*4*3*180</f>
        <v>17064.000000000004</v>
      </c>
      <c r="E14" s="242">
        <f t="shared" si="0"/>
        <v>41956.90000000001</v>
      </c>
      <c r="F14" s="429"/>
      <c r="G14" s="429"/>
      <c r="H14" s="17">
        <f>E14/F8*G8*0.5+E14/F8*G8*0.5/1.03</f>
        <v>689.0979530744337</v>
      </c>
    </row>
    <row r="15" spans="2:8" ht="14.25">
      <c r="B15" s="18" t="s">
        <v>432</v>
      </c>
      <c r="C15" s="13" t="s">
        <v>192</v>
      </c>
      <c r="D15" s="242">
        <f>D5*4*3*180</f>
        <v>17064.000000000004</v>
      </c>
      <c r="E15" s="242">
        <f t="shared" si="0"/>
        <v>59020.90000000001</v>
      </c>
      <c r="F15" s="429"/>
      <c r="G15" s="429"/>
      <c r="H15" s="19">
        <f>E15/F8*G8*1/3+E15/F8*G8*2/3/1.03</f>
        <v>964.5810517799355</v>
      </c>
    </row>
    <row r="17" spans="2:3" ht="14.25">
      <c r="B17" s="20"/>
      <c r="C17" s="20"/>
    </row>
    <row r="18" spans="2:4" ht="14.25">
      <c r="B18" s="428"/>
      <c r="C18" s="428"/>
      <c r="D18" s="428"/>
    </row>
  </sheetData>
  <sheetProtection sheet="1" objects="1" scenarios="1" selectLockedCells="1"/>
  <mergeCells count="3">
    <mergeCell ref="B18:D18"/>
    <mergeCell ref="F8:F15"/>
    <mergeCell ref="G8:G15"/>
  </mergeCells>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sheetPr>
    <tabColor indexed="52"/>
    <pageSetUpPr fitToPage="1"/>
  </sheetPr>
  <dimension ref="B2:W62"/>
  <sheetViews>
    <sheetView showGridLines="0" zoomScalePageLayoutView="0" workbookViewId="0" topLeftCell="A10">
      <selection activeCell="F65" sqref="F65"/>
    </sheetView>
  </sheetViews>
  <sheetFormatPr defaultColWidth="9.140625" defaultRowHeight="15"/>
  <cols>
    <col min="1" max="1" width="2.140625" style="243" customWidth="1"/>
    <col min="2" max="2" width="15.421875" style="243" customWidth="1"/>
    <col min="3" max="3" width="16.421875" style="243" customWidth="1"/>
    <col min="4" max="4" width="28.140625" style="243" customWidth="1"/>
    <col min="5" max="23" width="17.57421875" style="243" customWidth="1"/>
    <col min="24" max="16384" width="9.140625" style="243" customWidth="1"/>
  </cols>
  <sheetData>
    <row r="2" spans="2:3" ht="13.5" customHeight="1">
      <c r="B2" s="437" t="s">
        <v>465</v>
      </c>
      <c r="C2" s="437"/>
    </row>
    <row r="3" spans="2:3" ht="13.5" customHeight="1">
      <c r="B3" s="437"/>
      <c r="C3" s="437"/>
    </row>
    <row r="4" spans="2:8" ht="13.5" customHeight="1">
      <c r="B4" s="437"/>
      <c r="C4" s="437"/>
      <c r="D4" s="244" t="s">
        <v>170</v>
      </c>
      <c r="G4" s="436" t="s">
        <v>260</v>
      </c>
      <c r="H4" s="436"/>
    </row>
    <row r="5" spans="2:8" ht="28.5">
      <c r="B5" s="245"/>
      <c r="D5" s="246" t="s">
        <v>44</v>
      </c>
      <c r="E5" s="247">
        <f>'3. Herramienta de costeo'!C127</f>
        <v>0.14</v>
      </c>
      <c r="F5" s="248"/>
      <c r="G5" s="249" t="s">
        <v>403</v>
      </c>
      <c r="H5" s="247">
        <f>'3. Herramienta de costeo'!F127</f>
        <v>5</v>
      </c>
    </row>
    <row r="6" spans="2:8" ht="28.5">
      <c r="B6" s="245"/>
      <c r="D6" s="249" t="s">
        <v>38</v>
      </c>
      <c r="E6" s="247">
        <f>'3. Herramienta de costeo'!C128</f>
        <v>0.18</v>
      </c>
      <c r="F6" s="248"/>
      <c r="G6" s="249" t="s">
        <v>28</v>
      </c>
      <c r="H6" s="247">
        <f>'3. Herramienta de costeo'!F128</f>
        <v>20</v>
      </c>
    </row>
    <row r="7" spans="2:6" ht="14.25">
      <c r="B7" s="245"/>
      <c r="D7" s="249" t="s">
        <v>45</v>
      </c>
      <c r="E7" s="247">
        <f>'3. Herramienta de costeo'!C129</f>
        <v>0.05</v>
      </c>
      <c r="F7" s="248"/>
    </row>
    <row r="8" spans="2:6" ht="14.25">
      <c r="B8" s="245"/>
      <c r="D8" s="249" t="s">
        <v>37</v>
      </c>
      <c r="E8" s="247">
        <f>'3. Herramienta de costeo'!C130</f>
        <v>0.14</v>
      </c>
      <c r="F8" s="248"/>
    </row>
    <row r="9" spans="2:6" ht="14.25">
      <c r="B9" s="245"/>
      <c r="D9" s="249" t="s">
        <v>20</v>
      </c>
      <c r="E9" s="247">
        <f>'3. Herramienta de costeo'!C131</f>
        <v>0.27</v>
      </c>
      <c r="F9" s="248"/>
    </row>
    <row r="10" spans="2:6" ht="14.25">
      <c r="B10" s="245"/>
      <c r="D10" s="249" t="s">
        <v>47</v>
      </c>
      <c r="E10" s="247">
        <f>'3. Herramienta de costeo'!C132</f>
        <v>0.15</v>
      </c>
      <c r="F10" s="248"/>
    </row>
    <row r="11" spans="2:6" ht="14.25">
      <c r="B11" s="245"/>
      <c r="D11" s="249" t="s">
        <v>48</v>
      </c>
      <c r="E11" s="247">
        <f>'3. Herramienta de costeo'!C133</f>
        <v>0.06</v>
      </c>
      <c r="F11" s="248"/>
    </row>
    <row r="12" spans="2:5" ht="55.5" customHeight="1">
      <c r="B12" s="286" t="s">
        <v>377</v>
      </c>
      <c r="D12" s="250"/>
      <c r="E12" s="251"/>
    </row>
    <row r="13" spans="3:23" s="252" customFormat="1" ht="85.5">
      <c r="C13" s="253" t="s">
        <v>73</v>
      </c>
      <c r="D13" s="253" t="s">
        <v>404</v>
      </c>
      <c r="E13" s="277" t="s">
        <v>193</v>
      </c>
      <c r="F13" s="277" t="s">
        <v>194</v>
      </c>
      <c r="G13" s="278" t="s">
        <v>91</v>
      </c>
      <c r="H13" s="254" t="s">
        <v>378</v>
      </c>
      <c r="I13" s="277" t="s">
        <v>194</v>
      </c>
      <c r="J13" s="278" t="s">
        <v>197</v>
      </c>
      <c r="K13" s="254" t="s">
        <v>433</v>
      </c>
      <c r="L13" s="277" t="s">
        <v>194</v>
      </c>
      <c r="M13" s="278" t="s">
        <v>196</v>
      </c>
      <c r="N13" s="254" t="s">
        <v>434</v>
      </c>
      <c r="O13" s="277" t="s">
        <v>194</v>
      </c>
      <c r="P13" s="278" t="s">
        <v>198</v>
      </c>
      <c r="Q13" s="254" t="s">
        <v>435</v>
      </c>
      <c r="R13" s="277" t="s">
        <v>194</v>
      </c>
      <c r="S13" s="278" t="s">
        <v>93</v>
      </c>
      <c r="T13" s="254" t="s">
        <v>436</v>
      </c>
      <c r="U13" s="277" t="s">
        <v>194</v>
      </c>
      <c r="V13" s="278" t="s">
        <v>92</v>
      </c>
      <c r="W13" s="255" t="s">
        <v>379</v>
      </c>
    </row>
    <row r="14" spans="3:23" ht="71.25">
      <c r="C14" s="256" t="s">
        <v>52</v>
      </c>
      <c r="D14" s="257" t="s">
        <v>437</v>
      </c>
      <c r="E14" s="258">
        <f>2*30*4</f>
        <v>240</v>
      </c>
      <c r="F14" s="258">
        <f>E14*(100+$H$5)/100</f>
        <v>252</v>
      </c>
      <c r="G14" s="259">
        <f>F14*'3. Herramienta de costeo'!C127</f>
        <v>35.28</v>
      </c>
      <c r="H14" s="260">
        <f>3*30*8</f>
        <v>720</v>
      </c>
      <c r="I14" s="258">
        <f>H14*(100+$H$5)/100</f>
        <v>756</v>
      </c>
      <c r="J14" s="259">
        <f>I14*'3. Herramienta de costeo'!C127</f>
        <v>105.84</v>
      </c>
      <c r="K14" s="260">
        <f>4*30*24</f>
        <v>2880</v>
      </c>
      <c r="L14" s="260">
        <f>K14*(100+$H$5)/100</f>
        <v>3024</v>
      </c>
      <c r="M14" s="259">
        <f>L14*'3. Herramienta de costeo'!C127</f>
        <v>423.36</v>
      </c>
      <c r="N14" s="260">
        <f>5*30*36</f>
        <v>5400</v>
      </c>
      <c r="O14" s="260">
        <f>N14*(100+$H$5)/100</f>
        <v>5670</v>
      </c>
      <c r="P14" s="259">
        <f>O14*'3. Herramienta de costeo'!C127</f>
        <v>793.8000000000001</v>
      </c>
      <c r="Q14" s="260">
        <f>6*30*24</f>
        <v>4320</v>
      </c>
      <c r="R14" s="260">
        <f>Q14*(100+$H$5)/100</f>
        <v>4536</v>
      </c>
      <c r="S14" s="259">
        <f>R14*'3. Herramienta de costeo'!C127</f>
        <v>635.0400000000001</v>
      </c>
      <c r="T14" s="260">
        <f>2*30*84</f>
        <v>5040</v>
      </c>
      <c r="U14" s="260">
        <f>T14*(100+$H$5)/100</f>
        <v>5292</v>
      </c>
      <c r="V14" s="259">
        <f>U14*'3. Herramienta de costeo'!C128</f>
        <v>952.56</v>
      </c>
      <c r="W14" s="260">
        <f>G14+J14+M14+P14+S14+V14</f>
        <v>2945.88</v>
      </c>
    </row>
    <row r="15" spans="3:23" ht="14.25">
      <c r="C15" s="438" t="s">
        <v>393</v>
      </c>
      <c r="D15" s="261" t="s">
        <v>440</v>
      </c>
      <c r="E15" s="262" t="s">
        <v>394</v>
      </c>
      <c r="F15" s="260"/>
      <c r="G15" s="259">
        <v>0</v>
      </c>
      <c r="H15" s="262" t="s">
        <v>394</v>
      </c>
      <c r="I15" s="260"/>
      <c r="J15" s="259">
        <v>0</v>
      </c>
      <c r="K15" s="262" t="s">
        <v>394</v>
      </c>
      <c r="L15" s="260"/>
      <c r="M15" s="259">
        <v>0</v>
      </c>
      <c r="N15" s="260">
        <f>1.5*30*36</f>
        <v>1620</v>
      </c>
      <c r="O15" s="260">
        <f>N15*(100+$H$5)/100</f>
        <v>1701</v>
      </c>
      <c r="P15" s="259">
        <f>O15*'3. Herramienta de costeo'!C133</f>
        <v>102.06</v>
      </c>
      <c r="Q15" s="260">
        <f>1.5*30*24</f>
        <v>1080</v>
      </c>
      <c r="R15" s="260">
        <f>Q15*(100+$H$5)/100</f>
        <v>1134</v>
      </c>
      <c r="S15" s="259">
        <f>R15*'3. Herramienta de costeo'!C133</f>
        <v>68.03999999999999</v>
      </c>
      <c r="T15" s="260">
        <f>2*30*84</f>
        <v>5040</v>
      </c>
      <c r="U15" s="260">
        <f>T15*(100+$H$5)/100</f>
        <v>5292</v>
      </c>
      <c r="V15" s="259">
        <f>U15*'3. Herramienta de costeo'!C133</f>
        <v>317.52</v>
      </c>
      <c r="W15" s="260">
        <f>G14+J14+M14+P15+S15+V15</f>
        <v>1052.1</v>
      </c>
    </row>
    <row r="16" spans="3:23" ht="42.75">
      <c r="C16" s="438"/>
      <c r="D16" s="263" t="s">
        <v>438</v>
      </c>
      <c r="E16" s="258">
        <f>2*30*4</f>
        <v>240</v>
      </c>
      <c r="F16" s="258">
        <f>E16*(100+$H$5)/100</f>
        <v>252</v>
      </c>
      <c r="G16" s="259">
        <f>F16*'3. Herramienta de costeo'!C129</f>
        <v>12.600000000000001</v>
      </c>
      <c r="H16" s="260">
        <f>3*30*8</f>
        <v>720</v>
      </c>
      <c r="I16" s="258">
        <f>H16*(100+$H$5)/100</f>
        <v>756</v>
      </c>
      <c r="J16" s="259">
        <f>I16*'3. Herramienta de costeo'!C129</f>
        <v>37.800000000000004</v>
      </c>
      <c r="K16" s="260">
        <f>4*30*24</f>
        <v>2880</v>
      </c>
      <c r="L16" s="260">
        <f>K16*(100+$H$5)/100</f>
        <v>3024</v>
      </c>
      <c r="M16" s="259">
        <f>L16*'3. Herramienta de costeo'!C129</f>
        <v>151.20000000000002</v>
      </c>
      <c r="N16" s="260">
        <f>5*30*36</f>
        <v>5400</v>
      </c>
      <c r="O16" s="260">
        <f>N16*(100+$H$5)/100</f>
        <v>5670</v>
      </c>
      <c r="P16" s="259">
        <f>O16*'3. Herramienta de costeo'!C129</f>
        <v>283.5</v>
      </c>
      <c r="Q16" s="260">
        <f>6*30*24</f>
        <v>4320</v>
      </c>
      <c r="R16" s="260">
        <f>Q16*(100+$H$5)/100</f>
        <v>4536</v>
      </c>
      <c r="S16" s="259">
        <f>R16*'3. Herramienta de costeo'!C129</f>
        <v>226.8</v>
      </c>
      <c r="T16" s="260">
        <f>2*30*84</f>
        <v>5040</v>
      </c>
      <c r="U16" s="260">
        <f>T16*(100+$H$5)/100</f>
        <v>5292</v>
      </c>
      <c r="V16" s="259">
        <f>U16*'3. Herramienta de costeo'!C130</f>
        <v>740.8800000000001</v>
      </c>
      <c r="W16" s="260">
        <f>P16+S16+V16</f>
        <v>1251.18</v>
      </c>
    </row>
    <row r="17" spans="3:23" ht="42.75">
      <c r="C17" s="439" t="s">
        <v>395</v>
      </c>
      <c r="D17" s="264" t="s">
        <v>439</v>
      </c>
      <c r="E17" s="260">
        <f>2*30+3*30*3</f>
        <v>330</v>
      </c>
      <c r="F17" s="260">
        <f>E17*(100+$H$6)/100</f>
        <v>396</v>
      </c>
      <c r="G17" s="259">
        <f>F17*'3. Herramienta de costeo'!C131</f>
        <v>106.92</v>
      </c>
      <c r="H17" s="260">
        <f>3*30*8</f>
        <v>720</v>
      </c>
      <c r="I17" s="260">
        <f>H17*(100+$H$6)/100</f>
        <v>864</v>
      </c>
      <c r="J17" s="259">
        <f>I17*'3. Herramienta de costeo'!C131</f>
        <v>233.28000000000003</v>
      </c>
      <c r="K17" s="260">
        <f>3*30*24</f>
        <v>2160</v>
      </c>
      <c r="L17" s="260">
        <f>K17*(100+$H$5)/100</f>
        <v>2268</v>
      </c>
      <c r="M17" s="259">
        <f>L17*'3. Herramienta de costeo'!C132</f>
        <v>340.2</v>
      </c>
      <c r="N17" s="260">
        <f>4*30*36</f>
        <v>4320</v>
      </c>
      <c r="O17" s="260">
        <f>N17*(100+$H$5)/100</f>
        <v>4536</v>
      </c>
      <c r="P17" s="259">
        <f>O17*'3. Herramienta de costeo'!C132</f>
        <v>680.4</v>
      </c>
      <c r="Q17" s="260">
        <f>4*30*24</f>
        <v>2880</v>
      </c>
      <c r="R17" s="260">
        <f>Q17*(100+$H$5)/100</f>
        <v>3024</v>
      </c>
      <c r="S17" s="259">
        <f>R17*'3. Herramienta de costeo'!C132</f>
        <v>453.59999999999997</v>
      </c>
      <c r="T17" s="260">
        <f>6*30*84</f>
        <v>15120</v>
      </c>
      <c r="U17" s="260">
        <f>T17*(100+$H$5)/100</f>
        <v>15876</v>
      </c>
      <c r="V17" s="259">
        <f>U17*'3. Herramienta de costeo'!C132</f>
        <v>2381.4</v>
      </c>
      <c r="W17" s="260">
        <f>G17+J17+M17+P17+S17+V17</f>
        <v>4195.8</v>
      </c>
    </row>
    <row r="18" spans="3:23" ht="42.75">
      <c r="C18" s="440"/>
      <c r="D18" s="264" t="s">
        <v>438</v>
      </c>
      <c r="E18" s="258">
        <f>2*30*4</f>
        <v>240</v>
      </c>
      <c r="F18" s="258">
        <f>E18*(100+$H$5)/100</f>
        <v>252</v>
      </c>
      <c r="G18" s="259">
        <f>F18*'3. Herramienta de costeo'!C129</f>
        <v>12.600000000000001</v>
      </c>
      <c r="H18" s="260">
        <f>3*30*8</f>
        <v>720</v>
      </c>
      <c r="I18" s="258">
        <f>H18*(100+$H$5)/100</f>
        <v>756</v>
      </c>
      <c r="J18" s="259">
        <f>I18*'3. Herramienta de costeo'!C129</f>
        <v>37.800000000000004</v>
      </c>
      <c r="K18" s="260">
        <f>4*30*24</f>
        <v>2880</v>
      </c>
      <c r="L18" s="260">
        <f>K18*(100+$H$5)/100</f>
        <v>3024</v>
      </c>
      <c r="M18" s="259">
        <f>L18*'3. Herramienta de costeo'!C129</f>
        <v>151.20000000000002</v>
      </c>
      <c r="N18" s="260">
        <f>5*30*36</f>
        <v>5400</v>
      </c>
      <c r="O18" s="260">
        <f>N18*(100+$H$5)/100</f>
        <v>5670</v>
      </c>
      <c r="P18" s="259">
        <f>O18*'3. Herramienta de costeo'!C129</f>
        <v>283.5</v>
      </c>
      <c r="Q18" s="260">
        <f>6*30*24</f>
        <v>4320</v>
      </c>
      <c r="R18" s="260">
        <f>Q18*(100+$H$5)/100</f>
        <v>4536</v>
      </c>
      <c r="S18" s="259">
        <f>R18*'3. Herramienta de costeo'!C129</f>
        <v>226.8</v>
      </c>
      <c r="T18" s="260">
        <f>2*30*84</f>
        <v>5040</v>
      </c>
      <c r="U18" s="260">
        <f>T18*(100+$H$5)/100</f>
        <v>5292</v>
      </c>
      <c r="V18" s="259">
        <f>U18*'3. Herramienta de costeo'!C130</f>
        <v>740.8800000000001</v>
      </c>
      <c r="W18" s="260">
        <f>G18+J18+M18+P18+S18+V18</f>
        <v>1452.7800000000002</v>
      </c>
    </row>
    <row r="19" ht="14.25">
      <c r="C19" s="243" t="s">
        <v>400</v>
      </c>
    </row>
    <row r="20" ht="14.25">
      <c r="C20" s="243" t="s">
        <v>442</v>
      </c>
    </row>
    <row r="21" ht="14.25">
      <c r="C21" s="243" t="s">
        <v>441</v>
      </c>
    </row>
    <row r="23" ht="47.25" customHeight="1">
      <c r="B23" s="286" t="s">
        <v>271</v>
      </c>
    </row>
    <row r="24" spans="2:13" ht="42.75" customHeight="1">
      <c r="B24" s="255" t="str">
        <f>'3. Herramienta de costeo'!$C$2</f>
        <v>Escenario Objetivo</v>
      </c>
      <c r="C24" s="259" t="s">
        <v>401</v>
      </c>
      <c r="D24" s="287" t="s">
        <v>402</v>
      </c>
      <c r="E24" s="287" t="s">
        <v>73</v>
      </c>
      <c r="F24" s="286" t="s">
        <v>399</v>
      </c>
      <c r="G24" s="286" t="s">
        <v>100</v>
      </c>
      <c r="H24" s="286" t="s">
        <v>101</v>
      </c>
      <c r="I24" s="286" t="s">
        <v>102</v>
      </c>
      <c r="J24" s="286" t="s">
        <v>99</v>
      </c>
      <c r="K24" s="286" t="s">
        <v>103</v>
      </c>
      <c r="L24" s="286" t="s">
        <v>94</v>
      </c>
      <c r="M24" s="255" t="s">
        <v>95</v>
      </c>
    </row>
    <row r="25" spans="3:13" ht="16.5" customHeight="1">
      <c r="C25" s="430" t="s">
        <v>443</v>
      </c>
      <c r="D25" s="253" t="s">
        <v>443</v>
      </c>
      <c r="E25" s="265" t="s">
        <v>395</v>
      </c>
      <c r="F25" s="260">
        <f>'3. Herramienta de costeo'!C$146</f>
        <v>3.4295</v>
      </c>
      <c r="G25" s="260">
        <f>($G$17+$G$18)*$F25</f>
        <v>409.89384</v>
      </c>
      <c r="H25" s="260">
        <f>($J$17+$J$18)*$F25</f>
        <v>929.6688600000001</v>
      </c>
      <c r="I25" s="260">
        <f>($M$17+$M$18)*$F25/2/1.03+($M$17+$M$18)*$F25/2/1.03^2</f>
        <v>1612.3434296352152</v>
      </c>
      <c r="J25" s="260">
        <f>($P$17+$P$18)*$F25/3/1.03^3+($P$17+$P$18)*$F25/3/1.03^4+($P$17+$P$18)*$F25/3/1.03^5</f>
        <v>2937.9226927605932</v>
      </c>
      <c r="K25" s="260">
        <f>($S$17+$S$18)*$F25/2/1.03^6+($S$17+$S$18)*$F25/2/1.03^7</f>
        <v>1925.752992711822</v>
      </c>
      <c r="L25" s="260">
        <f>($V$17+$V$18)*$F25/7/1.03^8+($V$17+$V$18)*$F25/7/1.03^9+($V$17+$V$18)*$F25/7/1.03^10+($V$17+$V$18)*$F25/7/1.03^11+($V$17+$V$18)*$F25/7/1.03^12+($V$17+$V$18)*$F25/7/1.03^13+($V$17+$V$18)*$F25/7/1.03^14</f>
        <v>7749.109761807348</v>
      </c>
      <c r="M25" s="260">
        <f aca="true" t="shared" si="0" ref="M25:M30">SUM(G25:L25)</f>
        <v>15564.691576914978</v>
      </c>
    </row>
    <row r="26" spans="3:13" ht="16.5" customHeight="1">
      <c r="C26" s="431"/>
      <c r="D26" s="433" t="s">
        <v>396</v>
      </c>
      <c r="E26" s="256" t="s">
        <v>52</v>
      </c>
      <c r="F26" s="260">
        <f>'3. Herramienta de costeo'!C$152</f>
        <v>5.1442499999999995</v>
      </c>
      <c r="G26" s="260">
        <f>$G$14*$F26</f>
        <v>181.48914</v>
      </c>
      <c r="H26" s="260">
        <f>$J$14*$F26</f>
        <v>544.46742</v>
      </c>
      <c r="I26" s="260">
        <f>$M$14*$F26/2/1.03+$M$14*$F26/2/1.03^2</f>
        <v>2083.643816759355</v>
      </c>
      <c r="J26" s="260">
        <f>$P$14*$F26/3/1.03^3+$P$14*$F26/3/1.03^4+$P$14*$F26/3/1.03^5</f>
        <v>3629.1986204689683</v>
      </c>
      <c r="K26" s="260">
        <f>$S$14*$F26/2/1.03^6+$S$14*$F26/2/1.03^7</f>
        <v>2696.054189796551</v>
      </c>
      <c r="L26" s="260">
        <f>$V$14*$F26/7/1.03^8+$V$14*$F26/7/1.03^9+$V$14*$F26/7/1.03^10+$V$14*$F26/7/1.03^11+$V$14*$F26/7/1.03^12+$V$14*$F26/7/1.03^13+$V$14*$F26/7/1.03^14</f>
        <v>3546.202772352514</v>
      </c>
      <c r="M26" s="260">
        <f t="shared" si="0"/>
        <v>12681.055959377387</v>
      </c>
    </row>
    <row r="27" spans="3:13" ht="16.5" customHeight="1">
      <c r="C27" s="432"/>
      <c r="D27" s="435"/>
      <c r="E27" s="265" t="s">
        <v>395</v>
      </c>
      <c r="F27" s="260">
        <f>'3. Herramienta de costeo'!C$152</f>
        <v>5.1442499999999995</v>
      </c>
      <c r="G27" s="260">
        <f>($G$17+$G$18)*$F27</f>
        <v>614.84076</v>
      </c>
      <c r="H27" s="260">
        <f>($J$17+$J$18)*$F27</f>
        <v>1394.50329</v>
      </c>
      <c r="I27" s="260">
        <f>($M$17+$M$18)*$F27/2/1.03+($M$17+$M$18)*$F27/2/1.03^2</f>
        <v>2418.515144452823</v>
      </c>
      <c r="J27" s="260">
        <f>($P$17+$P$18)*$F27/3/1.03^3+($P$17+$P$18)*$F27/3/1.03^4+($P$17+$P$18)*$F27/3/1.03^5</f>
        <v>4406.884039140889</v>
      </c>
      <c r="K27" s="260">
        <f>($S$17+$S$18)*$F27/2/1.03^6+($S$17+$S$18)*$F27/2/1.03^7</f>
        <v>2888.6294890677327</v>
      </c>
      <c r="L27" s="260">
        <f>($V$17+$V$18)*$F27/7/1.03^8+($V$17+$V$18)*$F27/7/1.03^9+($V$17+$V$18)*$F27/7/1.03^10+($V$17+$V$18)*$F27/7/1.03^11+($V$17+$V$18)*$F27/7/1.03^12+($V$17+$V$18)*$F27/7/1.03^13+($V$17+$V$18)*$F27/7/1.03^14</f>
        <v>11623.66464271102</v>
      </c>
      <c r="M27" s="260">
        <f t="shared" si="0"/>
        <v>23347.037365372467</v>
      </c>
    </row>
    <row r="28" spans="3:13" ht="16.5" customHeight="1">
      <c r="C28" s="430" t="s">
        <v>396</v>
      </c>
      <c r="D28" s="433" t="s">
        <v>396</v>
      </c>
      <c r="E28" s="256" t="s">
        <v>52</v>
      </c>
      <c r="F28" s="260">
        <f>'3. Herramienta de costeo'!C$158</f>
        <v>16.15194750000001</v>
      </c>
      <c r="G28" s="260">
        <f>$G$14*$F28</f>
        <v>569.8407078000004</v>
      </c>
      <c r="H28" s="260">
        <f>$J$14*$F28</f>
        <v>1709.522123400001</v>
      </c>
      <c r="I28" s="260">
        <f>$M$14*$F28/2/1.03+$M$14*$F28/2/1.03^2</f>
        <v>6542.23755396739</v>
      </c>
      <c r="J28" s="260">
        <f>$P$14*$F28/3/1.03^3+$P$14*$F28/3/1.03^4+$P$14*$F28/3/1.03^5</f>
        <v>11394.979945548377</v>
      </c>
      <c r="K28" s="260">
        <f>$S$14*$F28/2/1.03^6+$S$14*$F28/2/1.03^7</f>
        <v>8465.087375370356</v>
      </c>
      <c r="L28" s="260">
        <f>$V$14*$F28/7/1.03^8+$V$14*$F28/7/1.03^9+$V$14*$F28/7/1.03^10+$V$14*$F28/7/1.03^11+$V$14*$F28/7/1.03^12+$V$14*$F28/7/1.03^13+$V$14*$F28/7/1.03^14</f>
        <v>11134.389075840461</v>
      </c>
      <c r="M28" s="260">
        <f t="shared" si="0"/>
        <v>39816.056781926585</v>
      </c>
    </row>
    <row r="29" spans="3:13" ht="16.5" customHeight="1">
      <c r="C29" s="431"/>
      <c r="D29" s="434"/>
      <c r="E29" s="256" t="s">
        <v>397</v>
      </c>
      <c r="F29" s="260">
        <f>'3. Herramienta de costeo'!C$158</f>
        <v>16.15194750000001</v>
      </c>
      <c r="G29" s="260">
        <f>$G$14*$F29</f>
        <v>569.8407078000004</v>
      </c>
      <c r="H29" s="260">
        <f>$J$14*$F29</f>
        <v>1709.522123400001</v>
      </c>
      <c r="I29" s="260">
        <f>$M$14*$F29/2/1.03+$M$14*$F29/2/1.03^2</f>
        <v>6542.23755396739</v>
      </c>
      <c r="J29" s="260">
        <f>($P$15+$P$16)*$F29/3/1.03^3+($P$15+$P$16)*$F29/3/1.03^4+($P$15+$P$16)*$F29/3/1.03^5</f>
        <v>5534.704544980639</v>
      </c>
      <c r="K29" s="260">
        <f>($S$15+$S$16)*$F29/2/1.03^6+($S$15+$S$16)*$F29/2/1.03^7</f>
        <v>3930.2191385648084</v>
      </c>
      <c r="L29" s="260">
        <f>($V$15+$V$16)*$F29/7/1.03^8+($V$15+$V$16)*$F29/7/1.03^9+($V$15+$V$16)*$F29/7/1.03^10+($V$15+$V$16)*$F29/7/1.03^11+($V$15+$V$16)*$F29/7/1.03^12+($V$15+$V$16)*$F29/7/1.03^13+($V$15+$V$16)*$F29/7/1.03^14</f>
        <v>12371.543417600516</v>
      </c>
      <c r="M29" s="260">
        <f t="shared" si="0"/>
        <v>30658.067486313354</v>
      </c>
    </row>
    <row r="30" spans="3:13" ht="16.5" customHeight="1">
      <c r="C30" s="432"/>
      <c r="D30" s="435"/>
      <c r="E30" s="265" t="s">
        <v>395</v>
      </c>
      <c r="F30" s="260">
        <f>'3. Herramienta de costeo'!C$158</f>
        <v>16.15194750000001</v>
      </c>
      <c r="G30" s="260">
        <f>($G$17+$G$18)*$F30</f>
        <v>1930.4807652000013</v>
      </c>
      <c r="H30" s="260">
        <f>($J$17+$J$18)*$F30</f>
        <v>4378.469928300003</v>
      </c>
      <c r="I30" s="260">
        <f>($M$17+$M$18)*$F30/2/1.03+($M$17+$M$18)*$F30/2/1.03^2</f>
        <v>7593.668589426435</v>
      </c>
      <c r="J30" s="260">
        <f>($P$17+$P$18)*$F30/3/1.03^3+($P$17+$P$18)*$F30/3/1.03^4+($P$17+$P$18)*$F30/3/1.03^5</f>
        <v>13836.761362451598</v>
      </c>
      <c r="K30" s="260">
        <f>($S$17+$S$18)*$F30/2/1.03^6+($S$17+$S$18)*$F30/2/1.03^7</f>
        <v>9069.736473611094</v>
      </c>
      <c r="L30" s="260">
        <f>($V$17+$V$18)*$F30/7/1.03^8+($V$17+$V$18)*$F30/7/1.03^9+($V$17+$V$18)*$F30/7/1.03^10+($V$17+$V$18)*$F30/7/1.03^11+($V$17+$V$18)*$F30/7/1.03^12+($V$17+$V$18)*$F30/7/1.03^13+($V$17+$V$18)*$F30/7/1.03^14</f>
        <v>36496.05308192151</v>
      </c>
      <c r="M30" s="260">
        <f t="shared" si="0"/>
        <v>73305.17020091065</v>
      </c>
    </row>
    <row r="32" spans="2:13" ht="42.75">
      <c r="B32" s="255" t="str">
        <f>'3. Herramienta de costeo'!$D$2</f>
        <v>Escenario intermedio 2º</v>
      </c>
      <c r="C32" s="259" t="s">
        <v>401</v>
      </c>
      <c r="D32" s="287" t="s">
        <v>402</v>
      </c>
      <c r="E32" s="287" t="s">
        <v>73</v>
      </c>
      <c r="F32" s="286" t="s">
        <v>399</v>
      </c>
      <c r="G32" s="286" t="s">
        <v>100</v>
      </c>
      <c r="H32" s="286" t="s">
        <v>101</v>
      </c>
      <c r="I32" s="286" t="s">
        <v>102</v>
      </c>
      <c r="J32" s="286" t="s">
        <v>99</v>
      </c>
      <c r="K32" s="286" t="s">
        <v>103</v>
      </c>
      <c r="L32" s="286" t="s">
        <v>94</v>
      </c>
      <c r="M32" s="255" t="s">
        <v>95</v>
      </c>
    </row>
    <row r="33" spans="3:13" ht="16.5" customHeight="1">
      <c r="C33" s="430" t="s">
        <v>443</v>
      </c>
      <c r="D33" s="253" t="s">
        <v>443</v>
      </c>
      <c r="E33" s="265" t="s">
        <v>395</v>
      </c>
      <c r="F33" s="260">
        <f>'3. Herramienta de costeo'!D$146</f>
        <v>2.6010000000000004</v>
      </c>
      <c r="G33" s="260">
        <f>($G$17+$G$18)*$F33</f>
        <v>310.8715200000001</v>
      </c>
      <c r="H33" s="260">
        <f>($J$17+$J$18)*$F33</f>
        <v>705.0790800000002</v>
      </c>
      <c r="I33" s="260">
        <f>($M$17+$M$18)*$F33/2/1.03+($M$17+$M$18)*$F33/2/1.03^2</f>
        <v>1222.8328504100296</v>
      </c>
      <c r="J33" s="260">
        <f>($P$17+$P$18)*$F33/3/1.03^3+($P$17+$P$18)*$F33/3/1.03^4+($P$17+$P$18)*$F33/3/1.03^5</f>
        <v>2228.178137883162</v>
      </c>
      <c r="K33" s="260">
        <f>($S$17+$S$18)*$F33/2/1.03^6+($S$17+$S$18)*$F33/2/1.03^7</f>
        <v>1460.5288042115321</v>
      </c>
      <c r="L33" s="260">
        <f>($V$17+$V$18)*$F33/7/1.03^8+($V$17+$V$18)*$F33/7/1.03^9+($V$17+$V$18)*$F33/7/1.03^10+($V$17+$V$18)*$F33/7/1.03^11+($V$17+$V$18)*$F33/7/1.03^12+($V$17+$V$18)*$F33/7/1.03^13+($V$17+$V$18)*$F33/7/1.03^14</f>
        <v>5877.076684782304</v>
      </c>
      <c r="M33" s="260">
        <f aca="true" t="shared" si="1" ref="M33:M38">SUM(G33:L33)</f>
        <v>11804.567077287029</v>
      </c>
    </row>
    <row r="34" spans="3:13" ht="16.5" customHeight="1">
      <c r="C34" s="431"/>
      <c r="D34" s="433" t="s">
        <v>396</v>
      </c>
      <c r="E34" s="256" t="s">
        <v>52</v>
      </c>
      <c r="F34" s="260">
        <f>'3. Herramienta de costeo'!D$152</f>
        <v>3.9015</v>
      </c>
      <c r="G34" s="260">
        <f>$G$14*$F34</f>
        <v>137.64492</v>
      </c>
      <c r="H34" s="260">
        <f>$J$14*$F34</f>
        <v>412.93476</v>
      </c>
      <c r="I34" s="260">
        <f>$M$14*$F34/2/1.03+$M$14*$F34/2/1.03^2</f>
        <v>1580.2762989914222</v>
      </c>
      <c r="J34" s="260">
        <f>$P$14*$F34/3/1.03^3+$P$14*$F34/3/1.03^4+$P$14*$F34/3/1.03^5</f>
        <v>2752.455346796847</v>
      </c>
      <c r="K34" s="260">
        <f>$S$14*$F34/2/1.03^6+$S$14*$F34/2/1.03^7</f>
        <v>2044.740325896145</v>
      </c>
      <c r="L34" s="260">
        <f>$V$14*$F34/7/1.03^8+$V$14*$F34/7/1.03^9+$V$14*$F34/7/1.03^10+$V$14*$F34/7/1.03^11+$V$14*$F34/7/1.03^12+$V$14*$F34/7/1.03^13+$V$14*$F34/7/1.03^14</f>
        <v>2689.509669307155</v>
      </c>
      <c r="M34" s="260">
        <f t="shared" si="1"/>
        <v>9617.56132099157</v>
      </c>
    </row>
    <row r="35" spans="3:13" ht="16.5" customHeight="1">
      <c r="C35" s="432"/>
      <c r="D35" s="435"/>
      <c r="E35" s="265" t="s">
        <v>395</v>
      </c>
      <c r="F35" s="260">
        <f>'3. Herramienta de costeo'!D$152</f>
        <v>3.9015</v>
      </c>
      <c r="G35" s="260">
        <f>($G$17+$G$18)*$F35</f>
        <v>466.30728000000005</v>
      </c>
      <c r="H35" s="260">
        <f>($J$17+$J$18)*$F35</f>
        <v>1057.6186200000002</v>
      </c>
      <c r="I35" s="260">
        <f>($M$17+$M$18)*$F35/2/1.03+($M$17+$M$18)*$F35/2/1.03^2</f>
        <v>1834.2492756150436</v>
      </c>
      <c r="J35" s="260">
        <f>($P$17+$P$18)*$F35/3/1.03^3+($P$17+$P$18)*$F35/3/1.03^4+($P$17+$P$18)*$F35/3/1.03^5</f>
        <v>3342.267206824743</v>
      </c>
      <c r="K35" s="260">
        <f>($S$17+$S$18)*$F35/2/1.03^6+($S$17+$S$18)*$F35/2/1.03^7</f>
        <v>2190.793206317298</v>
      </c>
      <c r="L35" s="260">
        <f>($V$17+$V$18)*$F35/7/1.03^8+($V$17+$V$18)*$F35/7/1.03^9+($V$17+$V$18)*$F35/7/1.03^10+($V$17+$V$18)*$F35/7/1.03^11+($V$17+$V$18)*$F35/7/1.03^12+($V$17+$V$18)*$F35/7/1.03^13+($V$17+$V$18)*$F35/7/1.03^14</f>
        <v>8815.615027173455</v>
      </c>
      <c r="M35" s="260">
        <f t="shared" si="1"/>
        <v>17706.85061593054</v>
      </c>
    </row>
    <row r="36" spans="3:13" ht="16.5" customHeight="1">
      <c r="C36" s="430" t="s">
        <v>396</v>
      </c>
      <c r="D36" s="433" t="s">
        <v>396</v>
      </c>
      <c r="E36" s="256" t="s">
        <v>52</v>
      </c>
      <c r="F36" s="260">
        <f>'3. Herramienta de costeo'!D$158</f>
        <v>43.551405</v>
      </c>
      <c r="G36" s="260">
        <f>$G$14*$F36</f>
        <v>1536.4935684000002</v>
      </c>
      <c r="H36" s="260">
        <f>$J$14*$F36</f>
        <v>4609.480705200001</v>
      </c>
      <c r="I36" s="260">
        <f>$M$14*$F36/2/1.03+$M$14*$F36/2/1.03^2</f>
        <v>17640.203283167124</v>
      </c>
      <c r="J36" s="260">
        <f>$P$14*$F36/3/1.03^3+$P$14*$F36/3/1.03^4+$P$14*$F36/3/1.03^5</f>
        <v>30724.92568313852</v>
      </c>
      <c r="K36" s="260">
        <f>$S$14*$F36/2/1.03^6+$S$14*$F36/2/1.03^7</f>
        <v>22824.8914655735</v>
      </c>
      <c r="L36" s="260">
        <f>$V$14*$F36/7/1.03^8+$V$14*$F36/7/1.03^9+$V$14*$F36/7/1.03^10+$V$14*$F36/7/1.03^11+$V$14*$F36/7/1.03^12+$V$14*$F36/7/1.03^13+$V$14*$F36/7/1.03^14</f>
        <v>30022.27985631475</v>
      </c>
      <c r="M36" s="260">
        <f t="shared" si="1"/>
        <v>107358.27456179389</v>
      </c>
    </row>
    <row r="37" spans="3:13" ht="16.5" customHeight="1">
      <c r="C37" s="431"/>
      <c r="D37" s="434"/>
      <c r="E37" s="256" t="s">
        <v>397</v>
      </c>
      <c r="F37" s="260">
        <f>'3. Herramienta de costeo'!D$158</f>
        <v>43.551405</v>
      </c>
      <c r="G37" s="260">
        <f>$G$14*$F37</f>
        <v>1536.4935684000002</v>
      </c>
      <c r="H37" s="260">
        <f>$J$14*$F37</f>
        <v>4609.480705200001</v>
      </c>
      <c r="I37" s="260">
        <f>$M$14*$F37/2/1.03+$M$14*$F37/2/1.03^2</f>
        <v>17640.203283167124</v>
      </c>
      <c r="J37" s="260">
        <f>($P$15+$P$16)*$F37/3/1.03^3+($P$15+$P$16)*$F37/3/1.03^4+($P$15+$P$16)*$F37/3/1.03^5</f>
        <v>14923.535331810137</v>
      </c>
      <c r="K37" s="260">
        <f>($S$15+$S$16)*$F37/2/1.03^6+($S$15+$S$16)*$F37/2/1.03^7</f>
        <v>10597.271037587696</v>
      </c>
      <c r="L37" s="260">
        <f>($V$15+$V$16)*$F37/7/1.03^8+($V$15+$V$16)*$F37/7/1.03^9+($V$15+$V$16)*$F37/7/1.03^10+($V$15+$V$16)*$F37/7/1.03^11+($V$15+$V$16)*$F37/7/1.03^12+($V$15+$V$16)*$F37/7/1.03^13+($V$15+$V$16)*$F37/7/1.03^14</f>
        <v>33358.08872923862</v>
      </c>
      <c r="M37" s="260">
        <f t="shared" si="1"/>
        <v>82665.07265540358</v>
      </c>
    </row>
    <row r="38" spans="3:13" ht="16.5" customHeight="1">
      <c r="C38" s="432"/>
      <c r="D38" s="435"/>
      <c r="E38" s="265" t="s">
        <v>395</v>
      </c>
      <c r="F38" s="260">
        <f>'3. Herramienta de costeo'!D$158</f>
        <v>43.551405</v>
      </c>
      <c r="G38" s="260">
        <f>($G$17+$G$18)*$F38</f>
        <v>5205.263925600001</v>
      </c>
      <c r="H38" s="260">
        <f>($J$17+$J$18)*$F38</f>
        <v>11805.914867400003</v>
      </c>
      <c r="I38" s="260">
        <f>($M$17+$M$18)*$F38/2/1.03+($M$17+$M$18)*$F38/2/1.03^2</f>
        <v>20475.235953676125</v>
      </c>
      <c r="J38" s="260">
        <f>($P$17+$P$18)*$F38/3/1.03^3+($P$17+$P$18)*$F38/3/1.03^4+($P$17+$P$18)*$F38/3/1.03^5</f>
        <v>37308.83832952535</v>
      </c>
      <c r="K38" s="260">
        <f>($S$17+$S$18)*$F38/2/1.03^6+($S$17+$S$18)*$F38/2/1.03^7</f>
        <v>24455.240855971606</v>
      </c>
      <c r="L38" s="260">
        <f>($V$17+$V$18)*$F38/7/1.03^8+($V$17+$V$18)*$F38/7/1.03^9+($V$17+$V$18)*$F38/7/1.03^10+($V$17+$V$18)*$F38/7/1.03^11+($V$17+$V$18)*$F38/7/1.03^12+($V$17+$V$18)*$F38/7/1.03^13+($V$17+$V$18)*$F38/7/1.03^14</f>
        <v>98406.36175125392</v>
      </c>
      <c r="M38" s="260">
        <f t="shared" si="1"/>
        <v>197656.855683427</v>
      </c>
    </row>
    <row r="40" spans="2:13" ht="42.75">
      <c r="B40" s="255" t="str">
        <f>'3. Herramienta de costeo'!$E$2</f>
        <v>Escenario intermedio 1º</v>
      </c>
      <c r="C40" s="259" t="s">
        <v>401</v>
      </c>
      <c r="D40" s="287" t="s">
        <v>402</v>
      </c>
      <c r="E40" s="287" t="s">
        <v>73</v>
      </c>
      <c r="F40" s="286" t="s">
        <v>399</v>
      </c>
      <c r="G40" s="286" t="s">
        <v>100</v>
      </c>
      <c r="H40" s="286" t="s">
        <v>101</v>
      </c>
      <c r="I40" s="286" t="s">
        <v>102</v>
      </c>
      <c r="J40" s="286" t="s">
        <v>99</v>
      </c>
      <c r="K40" s="286" t="s">
        <v>103</v>
      </c>
      <c r="L40" s="286" t="s">
        <v>94</v>
      </c>
      <c r="M40" s="255" t="s">
        <v>95</v>
      </c>
    </row>
    <row r="41" spans="3:13" ht="16.5" customHeight="1">
      <c r="C41" s="430" t="s">
        <v>443</v>
      </c>
      <c r="D41" s="253" t="s">
        <v>443</v>
      </c>
      <c r="E41" s="265" t="s">
        <v>395</v>
      </c>
      <c r="F41" s="260">
        <f>'3. Herramienta de costeo'!E$146</f>
        <v>2.025</v>
      </c>
      <c r="G41" s="260">
        <f>($G$17+$G$18)*$F41</f>
        <v>242.02800000000002</v>
      </c>
      <c r="H41" s="260">
        <f>($J$17+$J$18)*$F41</f>
        <v>548.937</v>
      </c>
      <c r="I41" s="260">
        <f>($M$17+$M$18)*$F41/2/1.03+($M$17+$M$18)*$F41/2/1.03^2</f>
        <v>952.0324959939674</v>
      </c>
      <c r="J41" s="260">
        <f>($P$17+$P$18)*$F41/3/1.03^3+($P$17+$P$18)*$F41/3/1.03^4+($P$17+$P$18)*$F41/3/1.03^5</f>
        <v>1734.7407647879286</v>
      </c>
      <c r="K41" s="260">
        <f>($S$17+$S$18)*$F41/2/1.03^6+($S$17+$S$18)*$F41/2/1.03^7</f>
        <v>1137.089899472646</v>
      </c>
      <c r="L41" s="260">
        <f>($V$17+$V$18)*$F41/7/1.03^8+($V$17+$V$18)*$F41/7/1.03^9+($V$17+$V$18)*$F41/7/1.03^10+($V$17+$V$18)*$F41/7/1.03^11+($V$17+$V$18)*$F41/7/1.03^12+($V$17+$V$18)*$F41/7/1.03^13+($V$17+$V$18)*$F41/7/1.03^14</f>
        <v>4575.578733827053</v>
      </c>
      <c r="M41" s="260">
        <f aca="true" t="shared" si="2" ref="M41:M46">SUM(G41:L41)</f>
        <v>9190.406894081596</v>
      </c>
    </row>
    <row r="42" spans="3:13" ht="16.5" customHeight="1">
      <c r="C42" s="431"/>
      <c r="D42" s="433" t="s">
        <v>396</v>
      </c>
      <c r="E42" s="256" t="s">
        <v>52</v>
      </c>
      <c r="F42" s="260">
        <f>'3. Herramienta de costeo'!E$152</f>
        <v>3.0375</v>
      </c>
      <c r="G42" s="260">
        <f>$G$14*$F42</f>
        <v>107.16300000000001</v>
      </c>
      <c r="H42" s="260">
        <f>$J$14*$F42</f>
        <v>321.48900000000003</v>
      </c>
      <c r="I42" s="260">
        <f>$M$14*$F42/2/1.03+$M$14*$F42/2/1.03^2</f>
        <v>1230.3189178998964</v>
      </c>
      <c r="J42" s="260">
        <f>$P$14*$F42/3/1.03^3+$P$14*$F42/3/1.03^4+$P$14*$F42/3/1.03^5</f>
        <v>2142.915062385089</v>
      </c>
      <c r="K42" s="260">
        <f>$S$14*$F42/2/1.03^6+$S$14*$F42/2/1.03^7</f>
        <v>1591.9258592617048</v>
      </c>
      <c r="L42" s="260">
        <f>$V$14*$F42/7/1.03^8+$V$14*$F42/7/1.03^9+$V$14*$F42/7/1.03^10+$V$14*$F42/7/1.03^11+$V$14*$F42/7/1.03^12+$V$14*$F42/7/1.03^13+$V$14*$F42/7/1.03^14</f>
        <v>2093.9089120903454</v>
      </c>
      <c r="M42" s="260">
        <f t="shared" si="2"/>
        <v>7487.720751637035</v>
      </c>
    </row>
    <row r="43" spans="3:13" ht="16.5" customHeight="1">
      <c r="C43" s="432"/>
      <c r="D43" s="435"/>
      <c r="E43" s="265" t="s">
        <v>395</v>
      </c>
      <c r="F43" s="260">
        <f>'3. Herramienta de costeo'!E$152</f>
        <v>3.0375</v>
      </c>
      <c r="G43" s="260">
        <f>($G$17+$G$18)*$F43</f>
        <v>363.04200000000003</v>
      </c>
      <c r="H43" s="260">
        <f>($J$17+$J$18)*$F43</f>
        <v>823.4055000000002</v>
      </c>
      <c r="I43" s="260">
        <f>($M$17+$M$18)*$F43/2/1.03+($M$17+$M$18)*$F43/2/1.03^2</f>
        <v>1428.0487439909512</v>
      </c>
      <c r="J43" s="260">
        <f>($P$17+$P$18)*$F43/3/1.03^3+($P$17+$P$18)*$F43/3/1.03^4+($P$17+$P$18)*$F43/3/1.03^5</f>
        <v>2602.111147181893</v>
      </c>
      <c r="K43" s="260">
        <f>($S$17+$S$18)*$F43/2/1.03^6+($S$17+$S$18)*$F43/2/1.03^7</f>
        <v>1705.6348492089692</v>
      </c>
      <c r="L43" s="260">
        <f>($V$17+$V$18)*$F43/7/1.03^8+($V$17+$V$18)*$F43/7/1.03^9+($V$17+$V$18)*$F43/7/1.03^10+($V$17+$V$18)*$F43/7/1.03^11+($V$17+$V$18)*$F43/7/1.03^12+($V$17+$V$18)*$F43/7/1.03^13+($V$17+$V$18)*$F43/7/1.03^14</f>
        <v>6863.368100740579</v>
      </c>
      <c r="M43" s="260">
        <f t="shared" si="2"/>
        <v>13785.610341122392</v>
      </c>
    </row>
    <row r="44" spans="3:13" ht="16.5" customHeight="1">
      <c r="C44" s="430" t="s">
        <v>396</v>
      </c>
      <c r="D44" s="433" t="s">
        <v>396</v>
      </c>
      <c r="E44" s="256" t="s">
        <v>52</v>
      </c>
      <c r="F44" s="260">
        <f>'3. Herramienta de costeo'!E$158</f>
        <v>68.662125</v>
      </c>
      <c r="G44" s="260">
        <f>$G$14*$F44</f>
        <v>2422.39977</v>
      </c>
      <c r="H44" s="260">
        <f>$J$14*$F44</f>
        <v>7267.199310000001</v>
      </c>
      <c r="I44" s="260">
        <f>$M$14*$F44/2/1.03+$M$14*$F44/2/1.03^2</f>
        <v>27811.131302290512</v>
      </c>
      <c r="J44" s="260">
        <f>$P$14*$F44/3/1.03^3+$P$14*$F44/3/1.03^4+$P$14*$F44/3/1.03^5</f>
        <v>48440.19814909227</v>
      </c>
      <c r="K44" s="260">
        <f>$S$14*$F44/2/1.03^6+$S$14*$F44/2/1.03^7</f>
        <v>35985.18924752579</v>
      </c>
      <c r="L44" s="260">
        <f>$V$14*$F44/7/1.03^8+$V$14*$F44/7/1.03^9+$V$14*$F44/7/1.03^10+$V$14*$F44/7/1.03^11+$V$14*$F44/7/1.03^12+$V$14*$F44/7/1.03^13+$V$14*$F44/7/1.03^14</f>
        <v>47332.42319689262</v>
      </c>
      <c r="M44" s="260">
        <f t="shared" si="2"/>
        <v>169258.54097580118</v>
      </c>
    </row>
    <row r="45" spans="3:13" ht="16.5" customHeight="1">
      <c r="C45" s="431"/>
      <c r="D45" s="434"/>
      <c r="E45" s="256" t="s">
        <v>397</v>
      </c>
      <c r="F45" s="260">
        <f>'3. Herramienta de costeo'!E$158</f>
        <v>68.662125</v>
      </c>
      <c r="G45" s="260">
        <f>$G$14*$F45</f>
        <v>2422.39977</v>
      </c>
      <c r="H45" s="260">
        <f>$J$14*$F45</f>
        <v>7267.199310000001</v>
      </c>
      <c r="I45" s="260">
        <f>$M$14*$F45/2/1.03+$M$14*$F45/2/1.03^2</f>
        <v>27811.131302290512</v>
      </c>
      <c r="J45" s="260">
        <f>($P$15+$P$16)*$F45/3/1.03^3+($P$15+$P$16)*$F45/3/1.03^4+($P$15+$P$16)*$F45/3/1.03^5</f>
        <v>23528.09624384482</v>
      </c>
      <c r="K45" s="260">
        <f>($S$15+$S$16)*$F45/2/1.03^6+($S$15+$S$16)*$F45/2/1.03^7</f>
        <v>16707.409293494115</v>
      </c>
      <c r="L45" s="260">
        <f>($V$15+$V$16)*$F45/7/1.03^8+($V$15+$V$16)*$F45/7/1.03^9+($V$15+$V$16)*$F45/7/1.03^10+($V$15+$V$16)*$F45/7/1.03^11+($V$15+$V$16)*$F45/7/1.03^12+($V$15+$V$16)*$F45/7/1.03^13+($V$15+$V$16)*$F45/7/1.03^14</f>
        <v>52591.581329880704</v>
      </c>
      <c r="M45" s="260">
        <f t="shared" si="2"/>
        <v>130327.81724951015</v>
      </c>
    </row>
    <row r="46" spans="3:13" ht="16.5" customHeight="1">
      <c r="C46" s="432"/>
      <c r="D46" s="435"/>
      <c r="E46" s="265" t="s">
        <v>395</v>
      </c>
      <c r="F46" s="260">
        <f>'3. Herramienta de costeo'!E$158</f>
        <v>68.662125</v>
      </c>
      <c r="G46" s="260">
        <f>($G$17+$G$18)*$F46</f>
        <v>8206.49718</v>
      </c>
      <c r="H46" s="260">
        <f>($J$17+$J$18)*$F46</f>
        <v>18612.928845000002</v>
      </c>
      <c r="I46" s="260">
        <f>($M$17+$M$18)*$F46/2/1.03+($M$17+$M$18)*$F46/2/1.03^2</f>
        <v>32280.777404444343</v>
      </c>
      <c r="J46" s="260">
        <f>($P$17+$P$18)*$F46/3/1.03^3+($P$17+$P$18)*$F46/3/1.03^4+($P$17+$P$18)*$F46/3/1.03^5</f>
        <v>58820.240609612025</v>
      </c>
      <c r="K46" s="260">
        <f>($S$17+$S$18)*$F46/2/1.03^6+($S$17+$S$18)*$F46/2/1.03^7</f>
        <v>38555.55990806334</v>
      </c>
      <c r="L46" s="260">
        <f>($V$17+$V$18)*$F46/7/1.03^8+($V$17+$V$18)*$F46/7/1.03^9+($V$17+$V$18)*$F46/7/1.03^10+($V$17+$V$18)*$F46/7/1.03^11+($V$17+$V$18)*$F46/7/1.03^12+($V$17+$V$18)*$F46/7/1.03^13+($V$17+$V$18)*$F46/7/1.03^14</f>
        <v>155145.16492314808</v>
      </c>
      <c r="M46" s="260">
        <f t="shared" si="2"/>
        <v>311621.1688702678</v>
      </c>
    </row>
    <row r="48" spans="2:13" ht="42.75">
      <c r="B48" s="255" t="str">
        <f>'3. Herramienta de costeo'!$F$2</f>
        <v>Escenario actual con datos de CPN</v>
      </c>
      <c r="C48" s="259" t="s">
        <v>401</v>
      </c>
      <c r="D48" s="287" t="s">
        <v>402</v>
      </c>
      <c r="E48" s="287" t="s">
        <v>73</v>
      </c>
      <c r="F48" s="286" t="s">
        <v>399</v>
      </c>
      <c r="G48" s="286" t="s">
        <v>100</v>
      </c>
      <c r="H48" s="286" t="s">
        <v>101</v>
      </c>
      <c r="I48" s="286" t="s">
        <v>102</v>
      </c>
      <c r="J48" s="286" t="s">
        <v>99</v>
      </c>
      <c r="K48" s="286" t="s">
        <v>103</v>
      </c>
      <c r="L48" s="286" t="s">
        <v>94</v>
      </c>
      <c r="M48" s="255" t="s">
        <v>95</v>
      </c>
    </row>
    <row r="49" spans="3:13" ht="16.5" customHeight="1">
      <c r="C49" s="430" t="s">
        <v>443</v>
      </c>
      <c r="D49" s="253" t="s">
        <v>443</v>
      </c>
      <c r="E49" s="265" t="s">
        <v>395</v>
      </c>
      <c r="F49" s="260">
        <f>'3. Herramienta de costeo'!F$146</f>
        <v>1.521</v>
      </c>
      <c r="G49" s="260">
        <f>($G$17+$G$18)*$F49</f>
        <v>181.78992</v>
      </c>
      <c r="H49" s="260">
        <f>($J$17+$J$18)*$F49</f>
        <v>412.31268000000006</v>
      </c>
      <c r="I49" s="260">
        <f>($M$17+$M$18)*$F49/2/1.03+($M$17+$M$18)*$F49/2/1.03^2</f>
        <v>715.0821858799131</v>
      </c>
      <c r="J49" s="260">
        <f>($P$17+$P$18)*$F49/3/1.03^3+($P$17+$P$18)*$F49/3/1.03^4+($P$17+$P$18)*$F49/3/1.03^5</f>
        <v>1302.9830633295999</v>
      </c>
      <c r="K49" s="260">
        <f>($S$17+$S$18)*$F49/2/1.03^6+($S$17+$S$18)*$F49/2/1.03^7</f>
        <v>854.0808578261207</v>
      </c>
      <c r="L49" s="260">
        <f>($V$17+$V$18)*$F49/7/1.03^8+($V$17+$V$18)*$F49/7/1.03^9+($V$17+$V$18)*$F49/7/1.03^10+($V$17+$V$18)*$F49/7/1.03^11+($V$17+$V$18)*$F49/7/1.03^12+($V$17+$V$18)*$F49/7/1.03^13+($V$17+$V$18)*$F49/7/1.03^14</f>
        <v>3436.768026741208</v>
      </c>
      <c r="M49" s="260">
        <f aca="true" t="shared" si="3" ref="M49:M54">SUM(G49:L49)</f>
        <v>6903.016733776842</v>
      </c>
    </row>
    <row r="50" spans="3:13" ht="16.5" customHeight="1">
      <c r="C50" s="431"/>
      <c r="D50" s="433" t="s">
        <v>396</v>
      </c>
      <c r="E50" s="256" t="s">
        <v>52</v>
      </c>
      <c r="F50" s="260">
        <f>'3. Herramienta de costeo'!F$152</f>
        <v>2.2815</v>
      </c>
      <c r="G50" s="260">
        <f>$G$14*$F50</f>
        <v>80.49132</v>
      </c>
      <c r="H50" s="260">
        <f>$J$14*$F50</f>
        <v>241.47396</v>
      </c>
      <c r="I50" s="260">
        <f>$M$14*$F50/2/1.03+$M$14*$F50/2/1.03^2</f>
        <v>924.106209444811</v>
      </c>
      <c r="J50" s="260">
        <f>$P$14*$F50/3/1.03^3+$P$14*$F50/3/1.03^4+$P$14*$F50/3/1.03^5</f>
        <v>1609.5673135247998</v>
      </c>
      <c r="K50" s="260">
        <f>$S$14*$F50/2/1.03^6+$S$14*$F50/2/1.03^7</f>
        <v>1195.7132009565694</v>
      </c>
      <c r="L50" s="260">
        <f>$V$14*$F50/7/1.03^8+$V$14*$F50/7/1.03^9+$V$14*$F50/7/1.03^10+$V$14*$F50/7/1.03^11+$V$14*$F50/7/1.03^12+$V$14*$F50/7/1.03^13+$V$14*$F50/7/1.03^14</f>
        <v>1572.7582495256374</v>
      </c>
      <c r="M50" s="260">
        <f t="shared" si="3"/>
        <v>5624.110253451818</v>
      </c>
    </row>
    <row r="51" spans="3:13" ht="16.5" customHeight="1">
      <c r="C51" s="432"/>
      <c r="D51" s="435"/>
      <c r="E51" s="265" t="s">
        <v>395</v>
      </c>
      <c r="F51" s="260">
        <f>'3. Herramienta de costeo'!F$152</f>
        <v>2.2815</v>
      </c>
      <c r="G51" s="260">
        <f>($G$17+$G$18)*$F51</f>
        <v>272.68488</v>
      </c>
      <c r="H51" s="260">
        <f>($J$17+$J$18)*$F51</f>
        <v>618.46902</v>
      </c>
      <c r="I51" s="260">
        <f>($M$17+$M$18)*$F51/2/1.03+($M$17+$M$18)*$F51/2/1.03^2</f>
        <v>1072.62327881987</v>
      </c>
      <c r="J51" s="260">
        <f>($P$17+$P$18)*$F51/3/1.03^3+($P$17+$P$18)*$F51/3/1.03^4+($P$17+$P$18)*$F51/3/1.03^5</f>
        <v>1954.4745949943992</v>
      </c>
      <c r="K51" s="260">
        <f>($S$17+$S$18)*$F51/2/1.03^6+($S$17+$S$18)*$F51/2/1.03^7</f>
        <v>1281.1212867391812</v>
      </c>
      <c r="L51" s="260">
        <f>($V$17+$V$18)*$F51/7/1.03^8+($V$17+$V$18)*$F51/7/1.03^9+($V$17+$V$18)*$F51/7/1.03^10+($V$17+$V$18)*$F51/7/1.03^11+($V$17+$V$18)*$F51/7/1.03^12+($V$17+$V$18)*$F51/7/1.03^13+($V$17+$V$18)*$F51/7/1.03^14</f>
        <v>5155.152040111812</v>
      </c>
      <c r="M51" s="260">
        <f t="shared" si="3"/>
        <v>10354.525100665262</v>
      </c>
    </row>
    <row r="52" spans="3:13" ht="16.5" customHeight="1">
      <c r="C52" s="430" t="s">
        <v>396</v>
      </c>
      <c r="D52" s="433" t="s">
        <v>396</v>
      </c>
      <c r="E52" s="256" t="s">
        <v>52</v>
      </c>
      <c r="F52" s="260">
        <f>'3. Herramienta de costeo'!F$158</f>
        <v>90.634005</v>
      </c>
      <c r="G52" s="260">
        <f>$G$14*$F52</f>
        <v>3197.5676964000004</v>
      </c>
      <c r="H52" s="260">
        <f>$J$14*$F52</f>
        <v>9592.7030892</v>
      </c>
      <c r="I52" s="260">
        <f>$M$14*$F52/2/1.03+$M$14*$F52/2/1.03^2</f>
        <v>36710.69331902347</v>
      </c>
      <c r="J52" s="260">
        <f>$P$14*$F52/3/1.03^3+$P$14*$F52/3/1.03^4+$P$14*$F52/3/1.03^5</f>
        <v>63941.0615568018</v>
      </c>
      <c r="K52" s="260">
        <f>$S$14*$F52/2/1.03^6+$S$14*$F52/2/1.03^7</f>
        <v>47500.44980673404</v>
      </c>
      <c r="L52" s="260">
        <f>$V$14*$F52/7/1.03^8+$V$14*$F52/7/1.03^9+$V$14*$F52/7/1.03^10+$V$14*$F52/7/1.03^11+$V$14*$F52/7/1.03^12+$V$14*$F52/7/1.03^13+$V$14*$F52/7/1.03^14</f>
        <v>62478.798619898254</v>
      </c>
      <c r="M52" s="260">
        <f t="shared" si="3"/>
        <v>223421.27408805757</v>
      </c>
    </row>
    <row r="53" spans="3:13" ht="16.5" customHeight="1">
      <c r="C53" s="431"/>
      <c r="D53" s="434"/>
      <c r="E53" s="256" t="s">
        <v>397</v>
      </c>
      <c r="F53" s="260">
        <f>'3. Herramienta de costeo'!F$158</f>
        <v>90.634005</v>
      </c>
      <c r="G53" s="260">
        <f>$G$14*$F53</f>
        <v>3197.5676964000004</v>
      </c>
      <c r="H53" s="260">
        <f>$J$14*$F53</f>
        <v>9592.7030892</v>
      </c>
      <c r="I53" s="260">
        <f>$M$14*$F53/2/1.03+$M$14*$F53/2/1.03^2</f>
        <v>36710.69331902347</v>
      </c>
      <c r="J53" s="260">
        <f>($P$15+$P$16)*$F53/3/1.03^3+($P$15+$P$16)*$F53/3/1.03^4+($P$15+$P$16)*$F53/3/1.03^5</f>
        <v>31057.08704187516</v>
      </c>
      <c r="K53" s="260">
        <f>($S$15+$S$16)*$F53/2/1.03^6+($S$15+$S$16)*$F53/2/1.03^7</f>
        <v>22053.780267412232</v>
      </c>
      <c r="L53" s="260">
        <f>($V$15+$V$16)*$F53/7/1.03^8+($V$15+$V$16)*$F53/7/1.03^9+($V$15+$V$16)*$F53/7/1.03^10+($V$15+$V$16)*$F53/7/1.03^11+($V$15+$V$16)*$F53/7/1.03^12+($V$15+$V$16)*$F53/7/1.03^13+($V$15+$V$16)*$F53/7/1.03^14</f>
        <v>69420.88735544252</v>
      </c>
      <c r="M53" s="260">
        <f t="shared" si="3"/>
        <v>172032.7187693534</v>
      </c>
    </row>
    <row r="54" spans="3:13" ht="16.5" customHeight="1">
      <c r="C54" s="432"/>
      <c r="D54" s="435"/>
      <c r="E54" s="265" t="s">
        <v>395</v>
      </c>
      <c r="F54" s="260">
        <f>'3. Herramienta de costeo'!F$158</f>
        <v>90.634005</v>
      </c>
      <c r="G54" s="260">
        <f>($G$17+$G$18)*$F54</f>
        <v>10832.576277600001</v>
      </c>
      <c r="H54" s="260">
        <f>($J$17+$J$18)*$F54</f>
        <v>24569.066075400006</v>
      </c>
      <c r="I54" s="260">
        <f>($M$17+$M$18)*$F54/2/1.03+($M$17+$M$18)*$F54/2/1.03^2</f>
        <v>42610.626173866534</v>
      </c>
      <c r="J54" s="260">
        <f>($P$17+$P$18)*$F54/3/1.03^3+($P$17+$P$18)*$F54/3/1.03^4+($P$17+$P$18)*$F54/3/1.03^5</f>
        <v>77642.71760468789</v>
      </c>
      <c r="K54" s="260">
        <f>($S$17+$S$18)*$F54/2/1.03^6+($S$17+$S$18)*$F54/2/1.03^7</f>
        <v>50893.33907864361</v>
      </c>
      <c r="L54" s="260">
        <f>($V$17+$V$18)*$F54/7/1.03^8+($V$17+$V$18)*$F54/7/1.03^9+($V$17+$V$18)*$F54/7/1.03^10+($V$17+$V$18)*$F54/7/1.03^11+($V$17+$V$18)*$F54/7/1.03^12+($V$17+$V$18)*$F54/7/1.03^13+($V$17+$V$18)*$F54/7/1.03^14</f>
        <v>204791.61769855546</v>
      </c>
      <c r="M54" s="260">
        <f t="shared" si="3"/>
        <v>411339.94290875347</v>
      </c>
    </row>
    <row r="56" spans="2:13" ht="42.75">
      <c r="B56" s="255" t="str">
        <f>'3. Herramienta de costeo'!$G$2</f>
        <v>Escenario actual sin datos de CPN</v>
      </c>
      <c r="C56" s="259" t="s">
        <v>401</v>
      </c>
      <c r="D56" s="287" t="s">
        <v>402</v>
      </c>
      <c r="E56" s="287" t="s">
        <v>73</v>
      </c>
      <c r="F56" s="286" t="s">
        <v>399</v>
      </c>
      <c r="G56" s="286" t="s">
        <v>100</v>
      </c>
      <c r="H56" s="286" t="s">
        <v>101</v>
      </c>
      <c r="I56" s="286" t="s">
        <v>102</v>
      </c>
      <c r="J56" s="286" t="s">
        <v>99</v>
      </c>
      <c r="K56" s="286" t="s">
        <v>103</v>
      </c>
      <c r="L56" s="286" t="s">
        <v>94</v>
      </c>
      <c r="M56" s="255" t="s">
        <v>95</v>
      </c>
    </row>
    <row r="57" spans="3:13" ht="16.5" customHeight="1">
      <c r="C57" s="430" t="s">
        <v>443</v>
      </c>
      <c r="D57" s="253" t="s">
        <v>443</v>
      </c>
      <c r="E57" s="265" t="s">
        <v>395</v>
      </c>
      <c r="F57" s="260">
        <f>'3. Herramienta de costeo'!G$146</f>
        <v>1.6</v>
      </c>
      <c r="G57" s="260">
        <f>($G$17+$G$18)*$F57</f>
        <v>191.23200000000003</v>
      </c>
      <c r="H57" s="260">
        <f>($J$17+$J$18)*$F57</f>
        <v>433.72800000000007</v>
      </c>
      <c r="I57" s="260">
        <f>($M$17+$M$18)*$F57/2/1.03+($M$17+$M$18)*$F57/2/1.03^2</f>
        <v>752.223206711283</v>
      </c>
      <c r="J57" s="260">
        <f>($P$17+$P$18)*$F57/3/1.03^3+($P$17+$P$18)*$F57/3/1.03^4+($P$17+$P$18)*$F57/3/1.03^5</f>
        <v>1370.6593697089809</v>
      </c>
      <c r="K57" s="260">
        <f>($S$17+$S$18)*$F57/2/1.03^6+($S$17+$S$18)*$F57/2/1.03^7</f>
        <v>898.4414020524612</v>
      </c>
      <c r="L57" s="260">
        <f>($V$17+$V$18)*$F57/7/1.03^8+($V$17+$V$18)*$F57/7/1.03^9+($V$17+$V$18)*$F57/7/1.03^10+($V$17+$V$18)*$F57/7/1.03^11+($V$17+$V$18)*$F57/7/1.03^12+($V$17+$V$18)*$F57/7/1.03^13+($V$17+$V$18)*$F57/7/1.03^14</f>
        <v>3615.2720859868077</v>
      </c>
      <c r="M57" s="260">
        <f aca="true" t="shared" si="4" ref="M57:M62">SUM(G57:L57)</f>
        <v>7261.5560644595325</v>
      </c>
    </row>
    <row r="58" spans="3:13" ht="16.5" customHeight="1">
      <c r="C58" s="431"/>
      <c r="D58" s="433" t="s">
        <v>396</v>
      </c>
      <c r="E58" s="256" t="s">
        <v>52</v>
      </c>
      <c r="F58" s="260">
        <f>'3. Herramienta de costeo'!G$152</f>
        <v>2.4</v>
      </c>
      <c r="G58" s="260">
        <f>$G$14*$F58</f>
        <v>84.672</v>
      </c>
      <c r="H58" s="260">
        <f>$J$14*$F58</f>
        <v>254.016</v>
      </c>
      <c r="I58" s="260">
        <f>$M$14*$F58/2/1.03+$M$14*$F58/2/1.03^2</f>
        <v>972.1038363653502</v>
      </c>
      <c r="J58" s="260">
        <f>$P$14*$F58/3/1.03^3+$P$14*$F58/3/1.03^4+$P$14*$F58/3/1.03^5</f>
        <v>1693.1674566993295</v>
      </c>
      <c r="K58" s="260">
        <f>$S$14*$F58/2/1.03^6+$S$14*$F58/2/1.03^7</f>
        <v>1257.8179628734456</v>
      </c>
      <c r="L58" s="260">
        <f>$V$14*$F58/7/1.03^8+$V$14*$F58/7/1.03^9+$V$14*$F58/7/1.03^10+$V$14*$F58/7/1.03^11+$V$14*$F58/7/1.03^12+$V$14*$F58/7/1.03^13+$V$14*$F58/7/1.03^14</f>
        <v>1654.4465478244708</v>
      </c>
      <c r="M58" s="260">
        <f t="shared" si="4"/>
        <v>5916.223803762596</v>
      </c>
    </row>
    <row r="59" spans="3:13" ht="16.5" customHeight="1">
      <c r="C59" s="432"/>
      <c r="D59" s="435"/>
      <c r="E59" s="265" t="s">
        <v>395</v>
      </c>
      <c r="F59" s="260">
        <f>'3. Herramienta de costeo'!G$152</f>
        <v>2.4</v>
      </c>
      <c r="G59" s="260">
        <f>($G$17+$G$18)*$F59</f>
        <v>286.848</v>
      </c>
      <c r="H59" s="260">
        <f>($J$17+$J$18)*$F59</f>
        <v>650.5920000000001</v>
      </c>
      <c r="I59" s="260">
        <f>($M$17+$M$18)*$F59/2/1.03+($M$17+$M$18)*$F59/2/1.03^2</f>
        <v>1128.334810066924</v>
      </c>
      <c r="J59" s="260">
        <f>($P$17+$P$18)*$F59/3/1.03^3+($P$17+$P$18)*$F59/3/1.03^4+($P$17+$P$18)*$F59/3/1.03^5</f>
        <v>2055.9890545634707</v>
      </c>
      <c r="K59" s="260">
        <f>($S$17+$S$18)*$F59/2/1.03^6+($S$17+$S$18)*$F59/2/1.03^7</f>
        <v>1347.6621030786914</v>
      </c>
      <c r="L59" s="260">
        <f>($V$17+$V$18)*$F59/7/1.03^8+($V$17+$V$18)*$F59/7/1.03^9+($V$17+$V$18)*$F59/7/1.03^10+($V$17+$V$18)*$F59/7/1.03^11+($V$17+$V$18)*$F59/7/1.03^12+($V$17+$V$18)*$F59/7/1.03^13+($V$17+$V$18)*$F59/7/1.03^14</f>
        <v>5422.90812898021</v>
      </c>
      <c r="M59" s="260">
        <f t="shared" si="4"/>
        <v>10892.334096689297</v>
      </c>
    </row>
    <row r="60" spans="3:13" ht="16.5" customHeight="1">
      <c r="C60" s="430" t="s">
        <v>396</v>
      </c>
      <c r="D60" s="433" t="s">
        <v>396</v>
      </c>
      <c r="E60" s="256" t="s">
        <v>52</v>
      </c>
      <c r="F60" s="260">
        <f>'3. Herramienta de costeo'!G$158</f>
        <v>104.62800000000001</v>
      </c>
      <c r="G60" s="260">
        <f>$G$14*$F60</f>
        <v>3691.2758400000007</v>
      </c>
      <c r="H60" s="260">
        <f>$J$14*$F60</f>
        <v>11073.827520000003</v>
      </c>
      <c r="I60" s="260">
        <f>$M$14*$F60/2/1.03+$M$14*$F60/2/1.03^2</f>
        <v>42378.866746347456</v>
      </c>
      <c r="J60" s="260">
        <f>$P$14*$F60/3/1.03^3+$P$14*$F60/3/1.03^4+$P$14*$F60/3/1.03^5</f>
        <v>73813.63527480728</v>
      </c>
      <c r="K60" s="260">
        <f>$S$14*$F60/2/1.03^6+$S$14*$F60/2/1.03^7</f>
        <v>54834.574091467875</v>
      </c>
      <c r="L60" s="260">
        <f>$V$14*$F60/7/1.03^8+$V$14*$F60/7/1.03^9+$V$14*$F60/7/1.03^10+$V$14*$F60/7/1.03^11+$V$14*$F60/7/1.03^12+$V$14*$F60/7/1.03^13+$V$14*$F60/7/1.03^14</f>
        <v>72125.59725240782</v>
      </c>
      <c r="M60" s="260">
        <f t="shared" si="4"/>
        <v>257917.77672503045</v>
      </c>
    </row>
    <row r="61" spans="3:13" ht="16.5" customHeight="1">
      <c r="C61" s="431"/>
      <c r="D61" s="434"/>
      <c r="E61" s="256" t="s">
        <v>397</v>
      </c>
      <c r="F61" s="260">
        <f>'3. Herramienta de costeo'!G$158</f>
        <v>104.62800000000001</v>
      </c>
      <c r="G61" s="260">
        <f>$G$14*$F61</f>
        <v>3691.2758400000007</v>
      </c>
      <c r="H61" s="260">
        <f>$J$14*$F61</f>
        <v>11073.827520000003</v>
      </c>
      <c r="I61" s="260">
        <f>$M$14*$F61/2/1.03+$M$14*$F61/2/1.03^2</f>
        <v>42378.866746347456</v>
      </c>
      <c r="J61" s="260">
        <f>($P$15+$P$16)*$F61/3/1.03^3+($P$15+$P$16)*$F61/3/1.03^4+($P$15+$P$16)*$F61/3/1.03^5</f>
        <v>35852.33713347781</v>
      </c>
      <c r="K61" s="260">
        <f>($S$15+$S$16)*$F61/2/1.03^6+($S$15+$S$16)*$F61/2/1.03^7</f>
        <v>25458.909399610086</v>
      </c>
      <c r="L61" s="260">
        <f>($V$15+$V$16)*$F61/7/1.03^8+($V$15+$V$16)*$F61/7/1.03^9+($V$15+$V$16)*$F61/7/1.03^10+($V$15+$V$16)*$F61/7/1.03^11+($V$15+$V$16)*$F61/7/1.03^12+($V$15+$V$16)*$F61/7/1.03^13+($V$15+$V$16)*$F61/7/1.03^14</f>
        <v>80139.55250267536</v>
      </c>
      <c r="M61" s="260">
        <f t="shared" si="4"/>
        <v>198594.76914211072</v>
      </c>
    </row>
    <row r="62" spans="3:13" ht="16.5" customHeight="1">
      <c r="C62" s="432"/>
      <c r="D62" s="435"/>
      <c r="E62" s="265" t="s">
        <v>395</v>
      </c>
      <c r="F62" s="260">
        <f>'3. Herramienta de costeo'!G$158</f>
        <v>104.62800000000001</v>
      </c>
      <c r="G62" s="260">
        <f>($G$17+$G$18)*$F62</f>
        <v>12505.138560000003</v>
      </c>
      <c r="H62" s="260">
        <f>($J$17+$J$18)*$F62</f>
        <v>28362.55824000001</v>
      </c>
      <c r="I62" s="260">
        <f>($M$17+$M$18)*$F62/2/1.03+($M$17+$M$18)*$F62/2/1.03^2</f>
        <v>49189.756044867565</v>
      </c>
      <c r="J62" s="260">
        <f>($P$17+$P$18)*$F62/3/1.03^3+($P$17+$P$18)*$F62/3/1.03^4+($P$17+$P$18)*$F62/3/1.03^5</f>
        <v>89630.84283369455</v>
      </c>
      <c r="K62" s="260">
        <f>($S$17+$S$18)*$F62/2/1.03^6+($S$17+$S$18)*$F62/2/1.03^7</f>
        <v>58751.32938371557</v>
      </c>
      <c r="L62" s="260">
        <f>($V$17+$V$18)*$F62/7/1.03^8+($V$17+$V$18)*$F62/7/1.03^9+($V$17+$V$18)*$F62/7/1.03^10+($V$17+$V$18)*$F62/7/1.03^11+($V$17+$V$18)*$F62/7/1.03^12+($V$17+$V$18)*$F62/7/1.03^13+($V$17+$V$18)*$F62/7/1.03^14</f>
        <v>236411.67988289235</v>
      </c>
      <c r="M62" s="260">
        <f t="shared" si="4"/>
        <v>474851.30494517006</v>
      </c>
    </row>
  </sheetData>
  <sheetProtection sheet="1" objects="1" scenarios="1" selectLockedCells="1"/>
  <mergeCells count="24">
    <mergeCell ref="B2:C4"/>
    <mergeCell ref="D34:D35"/>
    <mergeCell ref="C36:C38"/>
    <mergeCell ref="D36:D38"/>
    <mergeCell ref="C15:C16"/>
    <mergeCell ref="C17:C18"/>
    <mergeCell ref="G4:H4"/>
    <mergeCell ref="C41:C43"/>
    <mergeCell ref="D42:D43"/>
    <mergeCell ref="C44:C46"/>
    <mergeCell ref="D44:D46"/>
    <mergeCell ref="D26:D27"/>
    <mergeCell ref="C25:C27"/>
    <mergeCell ref="C28:C30"/>
    <mergeCell ref="D28:D30"/>
    <mergeCell ref="C33:C35"/>
    <mergeCell ref="C60:C62"/>
    <mergeCell ref="D60:D62"/>
    <mergeCell ref="C49:C51"/>
    <mergeCell ref="D50:D51"/>
    <mergeCell ref="C52:C54"/>
    <mergeCell ref="D52:D54"/>
    <mergeCell ref="C57:C59"/>
    <mergeCell ref="D58:D59"/>
  </mergeCells>
  <printOptions/>
  <pageMargins left="0.7" right="0.7" top="0.75" bottom="0.75" header="0.3" footer="0.3"/>
  <pageSetup fitToHeight="1" fitToWidth="1" orientation="landscape" paperSize="9" scale="32" r:id="rId1"/>
</worksheet>
</file>

<file path=xl/worksheets/sheet9.xml><?xml version="1.0" encoding="utf-8"?>
<worksheet xmlns="http://schemas.openxmlformats.org/spreadsheetml/2006/main" xmlns:r="http://schemas.openxmlformats.org/officeDocument/2006/relationships">
  <sheetPr>
    <tabColor indexed="50"/>
  </sheetPr>
  <dimension ref="B2:C18"/>
  <sheetViews>
    <sheetView showGridLines="0" zoomScalePageLayoutView="0" workbookViewId="0" topLeftCell="B1">
      <selection activeCell="B2" sqref="B2:C2"/>
    </sheetView>
  </sheetViews>
  <sheetFormatPr defaultColWidth="9.140625" defaultRowHeight="15"/>
  <cols>
    <col min="1" max="1" width="3.57421875" style="0" customWidth="1"/>
    <col min="2" max="2" width="188.421875" style="0" customWidth="1"/>
  </cols>
  <sheetData>
    <row r="1" ht="15.75" thickBot="1"/>
    <row r="2" spans="2:3" ht="25.5" customHeight="1" thickBot="1">
      <c r="B2" s="441" t="s">
        <v>212</v>
      </c>
      <c r="C2" s="442"/>
    </row>
    <row r="3" ht="60" customHeight="1">
      <c r="B3" s="314" t="s">
        <v>368</v>
      </c>
    </row>
    <row r="4" ht="30.75" customHeight="1">
      <c r="B4" s="311" t="s">
        <v>413</v>
      </c>
    </row>
    <row r="5" ht="39.75" customHeight="1">
      <c r="B5" s="311" t="s">
        <v>210</v>
      </c>
    </row>
    <row r="6" ht="54.75" customHeight="1">
      <c r="B6" s="312" t="s">
        <v>355</v>
      </c>
    </row>
    <row r="7" ht="36.75" customHeight="1">
      <c r="B7" s="311" t="s">
        <v>412</v>
      </c>
    </row>
    <row r="8" ht="36.75" customHeight="1">
      <c r="B8" s="311" t="s">
        <v>218</v>
      </c>
    </row>
    <row r="9" ht="28.5" customHeight="1">
      <c r="B9" s="311" t="s">
        <v>219</v>
      </c>
    </row>
    <row r="10" ht="45.75" customHeight="1">
      <c r="B10" s="312" t="s">
        <v>356</v>
      </c>
    </row>
    <row r="11" ht="33.75" customHeight="1">
      <c r="B11" s="311" t="s">
        <v>220</v>
      </c>
    </row>
    <row r="12" ht="34.5" customHeight="1">
      <c r="B12" s="311" t="s">
        <v>414</v>
      </c>
    </row>
    <row r="13" ht="33.75" customHeight="1">
      <c r="B13" s="311" t="s">
        <v>221</v>
      </c>
    </row>
    <row r="14" ht="41.25" customHeight="1">
      <c r="B14" s="316" t="s">
        <v>481</v>
      </c>
    </row>
    <row r="15" ht="27" customHeight="1">
      <c r="B15" s="311" t="s">
        <v>357</v>
      </c>
    </row>
    <row r="16" ht="30" customHeight="1">
      <c r="B16" s="311" t="s">
        <v>369</v>
      </c>
    </row>
    <row r="17" ht="33.75" customHeight="1">
      <c r="B17" s="311" t="s">
        <v>370</v>
      </c>
    </row>
    <row r="18" ht="27" customHeight="1">
      <c r="B18" s="313" t="s">
        <v>361</v>
      </c>
    </row>
  </sheetData>
  <sheetProtection selectLockedCells="1"/>
  <mergeCells count="1">
    <mergeCell ref="B2:C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Naoko</dc:creator>
  <cp:keywords/>
  <dc:description/>
  <cp:lastModifiedBy>PAHO LAN User</cp:lastModifiedBy>
  <cp:lastPrinted>2011-08-22T16:06:31Z</cp:lastPrinted>
  <dcterms:created xsi:type="dcterms:W3CDTF">2010-12-16T22:38:05Z</dcterms:created>
  <dcterms:modified xsi:type="dcterms:W3CDTF">2011-11-02T18:31:44Z</dcterms:modified>
  <cp:category/>
  <cp:version/>
  <cp:contentType/>
  <cp:contentStatus/>
</cp:coreProperties>
</file>