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emf" ContentType="image/x-e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65" windowWidth="15075" windowHeight="7605"/>
  </bookViews>
  <sheets>
    <sheet name="1. About this tool" sheetId="19" r:id="rId1"/>
    <sheet name="2. Instructions" sheetId="17" r:id="rId2"/>
    <sheet name="3. Costing Tool" sheetId="7" r:id="rId3"/>
    <sheet name="4. Summary tables" sheetId="14" r:id="rId4"/>
    <sheet name="5. Summary graphs" sheetId="15" r:id="rId5"/>
    <sheet name="6. Drug Costs for PMTCT" sheetId="8" r:id="rId6"/>
    <sheet name="7.Costs for Replacement feeding" sheetId="11" r:id="rId7"/>
    <sheet name="8.Drug costs for paediatric HIV" sheetId="12" r:id="rId8"/>
    <sheet name="9. References" sheetId="16" r:id="rId9"/>
    <sheet name="10.Acronyms" sheetId="18" r:id="rId10"/>
  </sheets>
  <definedNames>
    <definedName name="_xlnm._FilterDatabase" localSheetId="2" hidden="1">'3. Costing Tool'!$B$2:$G$23</definedName>
    <definedName name="_xlnm.Print_Area" localSheetId="1">'2. Instructions'!$B$1:$C$93</definedName>
    <definedName name="_xlnm.Print_Area" localSheetId="2">'3. Costing Tool'!$B$2:$G$201</definedName>
    <definedName name="_xlnm.Print_Area" localSheetId="3">'4. Summary tables'!$A$1:$J$39</definedName>
  </definedNames>
  <calcPr calcId="114210"/>
</workbook>
</file>

<file path=xl/calcChain.xml><?xml version="1.0" encoding="utf-8"?>
<calcChain xmlns="http://schemas.openxmlformats.org/spreadsheetml/2006/main">
  <c r="I15" i="8"/>
  <c r="F15"/>
  <c r="J3"/>
  <c r="G15"/>
  <c r="K15"/>
  <c r="I16"/>
  <c r="F16"/>
  <c r="G16"/>
  <c r="K16"/>
  <c r="I17"/>
  <c r="F17"/>
  <c r="G17"/>
  <c r="K17"/>
  <c r="I19"/>
  <c r="K19"/>
  <c r="I28"/>
  <c r="F28"/>
  <c r="G28"/>
  <c r="K28"/>
  <c r="I29"/>
  <c r="F29"/>
  <c r="G29"/>
  <c r="K29"/>
  <c r="I37"/>
  <c r="K37"/>
  <c r="D5" i="11"/>
  <c r="D8"/>
  <c r="E8"/>
  <c r="D9"/>
  <c r="E9"/>
  <c r="D10"/>
  <c r="E10"/>
  <c r="D11"/>
  <c r="E11"/>
  <c r="D12"/>
  <c r="E12"/>
  <c r="D13"/>
  <c r="E13"/>
  <c r="F8"/>
  <c r="G8"/>
  <c r="H13"/>
  <c r="E17" i="12"/>
  <c r="H6"/>
  <c r="F17"/>
  <c r="G17"/>
  <c r="H17"/>
  <c r="I17"/>
  <c r="J17"/>
  <c r="K17"/>
  <c r="H5"/>
  <c r="L17"/>
  <c r="M17"/>
  <c r="N17"/>
  <c r="O17"/>
  <c r="P17"/>
  <c r="Q17"/>
  <c r="R17"/>
  <c r="S17"/>
  <c r="T17"/>
  <c r="U17"/>
  <c r="V17"/>
  <c r="W17"/>
  <c r="E18"/>
  <c r="F18"/>
  <c r="G18"/>
  <c r="H18"/>
  <c r="I18"/>
  <c r="J18"/>
  <c r="K18"/>
  <c r="L18"/>
  <c r="M18"/>
  <c r="N18"/>
  <c r="O18"/>
  <c r="P18"/>
  <c r="Q18"/>
  <c r="R18"/>
  <c r="S18"/>
  <c r="T18"/>
  <c r="U18"/>
  <c r="V18"/>
  <c r="W18"/>
  <c r="C15" i="7"/>
  <c r="C146"/>
  <c r="F25" i="12"/>
  <c r="G25"/>
  <c r="H25"/>
  <c r="I25"/>
  <c r="J25"/>
  <c r="K25"/>
  <c r="L25"/>
  <c r="M25"/>
  <c r="D15" i="7"/>
  <c r="D146"/>
  <c r="F33" i="12"/>
  <c r="G33"/>
  <c r="H33"/>
  <c r="I33"/>
  <c r="J33"/>
  <c r="K33"/>
  <c r="L33"/>
  <c r="M33"/>
  <c r="E15" i="7"/>
  <c r="E146"/>
  <c r="F41" i="12"/>
  <c r="G41"/>
  <c r="H41"/>
  <c r="I41"/>
  <c r="J41"/>
  <c r="K41"/>
  <c r="L41"/>
  <c r="M41"/>
  <c r="F15" i="7"/>
  <c r="F146"/>
  <c r="F49" i="12"/>
  <c r="G49"/>
  <c r="H49"/>
  <c r="I49"/>
  <c r="J49"/>
  <c r="K49"/>
  <c r="L49"/>
  <c r="M49"/>
  <c r="G15" i="7"/>
  <c r="G146"/>
  <c r="F57" i="12"/>
  <c r="G57"/>
  <c r="H57"/>
  <c r="I57"/>
  <c r="J57"/>
  <c r="K57"/>
  <c r="L57"/>
  <c r="M57"/>
  <c r="E14"/>
  <c r="F14"/>
  <c r="G14"/>
  <c r="H14"/>
  <c r="I14"/>
  <c r="J14"/>
  <c r="K14"/>
  <c r="L14"/>
  <c r="M14"/>
  <c r="N14"/>
  <c r="O14"/>
  <c r="P14"/>
  <c r="Q14"/>
  <c r="R14"/>
  <c r="S14"/>
  <c r="T14"/>
  <c r="U14"/>
  <c r="V14"/>
  <c r="W14"/>
  <c r="C55" i="7"/>
  <c r="C65"/>
  <c r="C152"/>
  <c r="F26" i="12"/>
  <c r="G26"/>
  <c r="H26"/>
  <c r="I26"/>
  <c r="J26"/>
  <c r="K26"/>
  <c r="L26"/>
  <c r="M26"/>
  <c r="D55" i="7"/>
  <c r="D65"/>
  <c r="D152"/>
  <c r="F34" i="12"/>
  <c r="G34"/>
  <c r="H34"/>
  <c r="I34"/>
  <c r="J34"/>
  <c r="K34"/>
  <c r="L34"/>
  <c r="M34"/>
  <c r="E55" i="7"/>
  <c r="E65"/>
  <c r="E152"/>
  <c r="F42" i="12"/>
  <c r="G42"/>
  <c r="H42"/>
  <c r="I42"/>
  <c r="J42"/>
  <c r="K42"/>
  <c r="L42"/>
  <c r="M42"/>
  <c r="F55" i="7"/>
  <c r="F65"/>
  <c r="F152"/>
  <c r="F50" i="12"/>
  <c r="G50"/>
  <c r="H50"/>
  <c r="I50"/>
  <c r="J50"/>
  <c r="K50"/>
  <c r="L50"/>
  <c r="M50"/>
  <c r="G55" i="7"/>
  <c r="G65"/>
  <c r="G152"/>
  <c r="F58" i="12"/>
  <c r="G58"/>
  <c r="H58"/>
  <c r="I58"/>
  <c r="J58"/>
  <c r="K58"/>
  <c r="L58"/>
  <c r="M58"/>
  <c r="C17" i="7"/>
  <c r="C10"/>
  <c r="C11"/>
  <c r="C18"/>
  <c r="C14"/>
  <c r="C19"/>
  <c r="C20"/>
  <c r="C158"/>
  <c r="F28" i="12"/>
  <c r="G28"/>
  <c r="H28"/>
  <c r="I28"/>
  <c r="J28"/>
  <c r="K28"/>
  <c r="L28"/>
  <c r="M28"/>
  <c r="D17" i="7"/>
  <c r="D10"/>
  <c r="D11"/>
  <c r="D18"/>
  <c r="D14"/>
  <c r="D19"/>
  <c r="D20"/>
  <c r="D158"/>
  <c r="F36" i="12"/>
  <c r="G36"/>
  <c r="H36"/>
  <c r="I36"/>
  <c r="J36"/>
  <c r="K36"/>
  <c r="L36"/>
  <c r="M36"/>
  <c r="E17" i="7"/>
  <c r="E10"/>
  <c r="E11"/>
  <c r="E18"/>
  <c r="E14"/>
  <c r="E19"/>
  <c r="E20"/>
  <c r="E158"/>
  <c r="F44" i="12"/>
  <c r="G44"/>
  <c r="H44"/>
  <c r="I44"/>
  <c r="J44"/>
  <c r="K44"/>
  <c r="L44"/>
  <c r="M44"/>
  <c r="F17" i="7"/>
  <c r="F10"/>
  <c r="F11"/>
  <c r="F18"/>
  <c r="F14"/>
  <c r="F19"/>
  <c r="F20"/>
  <c r="F158"/>
  <c r="F52" i="12"/>
  <c r="G52"/>
  <c r="H52"/>
  <c r="I52"/>
  <c r="J52"/>
  <c r="K52"/>
  <c r="L52"/>
  <c r="M52"/>
  <c r="G14" i="7"/>
  <c r="G19"/>
  <c r="G10"/>
  <c r="G11"/>
  <c r="G20"/>
  <c r="G158"/>
  <c r="F60" i="12"/>
  <c r="G60"/>
  <c r="H60"/>
  <c r="I60"/>
  <c r="J60"/>
  <c r="K60"/>
  <c r="L60"/>
  <c r="M60"/>
  <c r="C80" i="7"/>
  <c r="C81"/>
  <c r="D141"/>
  <c r="D16"/>
  <c r="D21"/>
  <c r="D142"/>
  <c r="D168"/>
  <c r="F32" i="14"/>
  <c r="E141" i="7"/>
  <c r="E16"/>
  <c r="E21"/>
  <c r="E142"/>
  <c r="E168"/>
  <c r="G32" i="14"/>
  <c r="F141" i="7"/>
  <c r="F16"/>
  <c r="F21"/>
  <c r="F142"/>
  <c r="F168"/>
  <c r="H32" i="14"/>
  <c r="G141" i="7"/>
  <c r="G16"/>
  <c r="G21"/>
  <c r="G142"/>
  <c r="G168"/>
  <c r="I32" i="14"/>
  <c r="D136" i="7"/>
  <c r="D137"/>
  <c r="D138"/>
  <c r="D139"/>
  <c r="D140"/>
  <c r="D170"/>
  <c r="F30" i="14"/>
  <c r="E136" i="7"/>
  <c r="E137"/>
  <c r="E138"/>
  <c r="E139"/>
  <c r="E140"/>
  <c r="E170"/>
  <c r="G30" i="14"/>
  <c r="F136" i="7"/>
  <c r="F137"/>
  <c r="F138"/>
  <c r="F139"/>
  <c r="F140"/>
  <c r="F170"/>
  <c r="H30" i="14"/>
  <c r="G136" i="7"/>
  <c r="G137"/>
  <c r="G138"/>
  <c r="G139"/>
  <c r="G140"/>
  <c r="G170"/>
  <c r="I30" i="14"/>
  <c r="C141" i="7"/>
  <c r="C16"/>
  <c r="C21"/>
  <c r="C142"/>
  <c r="C168"/>
  <c r="E32" i="14"/>
  <c r="C136" i="7"/>
  <c r="C137"/>
  <c r="C138"/>
  <c r="C139"/>
  <c r="C140"/>
  <c r="C170"/>
  <c r="E30" i="14"/>
  <c r="D175" i="7"/>
  <c r="D177"/>
  <c r="D178"/>
  <c r="E175"/>
  <c r="E177"/>
  <c r="E178"/>
  <c r="F175"/>
  <c r="F177"/>
  <c r="F178"/>
  <c r="G175"/>
  <c r="G177"/>
  <c r="G178"/>
  <c r="C177"/>
  <c r="C175"/>
  <c r="C178"/>
  <c r="D176"/>
  <c r="E176"/>
  <c r="F176"/>
  <c r="G176"/>
  <c r="C176"/>
  <c r="G199"/>
  <c r="F199"/>
  <c r="E199"/>
  <c r="D199"/>
  <c r="C199"/>
  <c r="D22"/>
  <c r="E22"/>
  <c r="F22"/>
  <c r="G22"/>
  <c r="C22"/>
  <c r="C23"/>
  <c r="C57"/>
  <c r="C58"/>
  <c r="C60"/>
  <c r="C59"/>
  <c r="C61"/>
  <c r="C62"/>
  <c r="C68"/>
  <c r="C70"/>
  <c r="C69"/>
  <c r="C71"/>
  <c r="C72"/>
  <c r="C29"/>
  <c r="C30"/>
  <c r="C31"/>
  <c r="C33"/>
  <c r="C35"/>
  <c r="C37"/>
  <c r="C88"/>
  <c r="C89"/>
  <c r="C91"/>
  <c r="C94"/>
  <c r="C96"/>
  <c r="C99"/>
  <c r="C101"/>
  <c r="C148"/>
  <c r="C154"/>
  <c r="C160"/>
  <c r="C164"/>
  <c r="C180"/>
  <c r="C111"/>
  <c r="C112"/>
  <c r="C114"/>
  <c r="C115"/>
  <c r="C117"/>
  <c r="C119"/>
  <c r="C121"/>
  <c r="C184"/>
  <c r="D148"/>
  <c r="D154"/>
  <c r="D160"/>
  <c r="D164"/>
  <c r="D180"/>
  <c r="E148"/>
  <c r="E154"/>
  <c r="E160"/>
  <c r="E164"/>
  <c r="E180"/>
  <c r="F148"/>
  <c r="F154"/>
  <c r="F160"/>
  <c r="F164"/>
  <c r="F180"/>
  <c r="G148"/>
  <c r="G154"/>
  <c r="G160"/>
  <c r="G164"/>
  <c r="G180"/>
  <c r="G88"/>
  <c r="G89"/>
  <c r="D88"/>
  <c r="D89"/>
  <c r="E88"/>
  <c r="E89"/>
  <c r="F88"/>
  <c r="F89"/>
  <c r="D85"/>
  <c r="E85"/>
  <c r="F85"/>
  <c r="G85"/>
  <c r="C85"/>
  <c r="G23"/>
  <c r="D23"/>
  <c r="E23"/>
  <c r="F23"/>
  <c r="E5" i="12"/>
  <c r="C4" i="11"/>
  <c r="G7"/>
  <c r="C5"/>
  <c r="C3"/>
  <c r="F7"/>
  <c r="J15" i="8"/>
  <c r="B6" i="15"/>
  <c r="G159" i="7"/>
  <c r="F159"/>
  <c r="E159"/>
  <c r="D159"/>
  <c r="C159"/>
  <c r="G153"/>
  <c r="F153"/>
  <c r="E153"/>
  <c r="D153"/>
  <c r="C153"/>
  <c r="G147"/>
  <c r="F147"/>
  <c r="E147"/>
  <c r="D147"/>
  <c r="C147"/>
  <c r="G80"/>
  <c r="F80"/>
  <c r="E80"/>
  <c r="D80"/>
  <c r="G69"/>
  <c r="F69"/>
  <c r="E69"/>
  <c r="D69"/>
  <c r="G68"/>
  <c r="F68"/>
  <c r="E68"/>
  <c r="D68"/>
  <c r="G59"/>
  <c r="F59"/>
  <c r="E59"/>
  <c r="D59"/>
  <c r="G58"/>
  <c r="F58"/>
  <c r="E58"/>
  <c r="D58"/>
  <c r="G57"/>
  <c r="F57"/>
  <c r="E57"/>
  <c r="D57"/>
  <c r="B7" i="15"/>
  <c r="C190" i="7"/>
  <c r="C191"/>
  <c r="G119"/>
  <c r="G117"/>
  <c r="G115"/>
  <c r="G114"/>
  <c r="D119"/>
  <c r="E119"/>
  <c r="F119"/>
  <c r="D117"/>
  <c r="E117"/>
  <c r="F117"/>
  <c r="D115"/>
  <c r="E115"/>
  <c r="F115"/>
  <c r="D114"/>
  <c r="E114"/>
  <c r="F114"/>
  <c r="G112"/>
  <c r="G111"/>
  <c r="G37"/>
  <c r="G35"/>
  <c r="G33"/>
  <c r="G31"/>
  <c r="G30"/>
  <c r="G29"/>
  <c r="F21" i="14"/>
  <c r="F18"/>
  <c r="G18"/>
  <c r="H18"/>
  <c r="I18"/>
  <c r="E18"/>
  <c r="T16" i="12"/>
  <c r="T15"/>
  <c r="E21" i="14"/>
  <c r="D112" i="7"/>
  <c r="E112"/>
  <c r="E111"/>
  <c r="G20" i="14"/>
  <c r="F112" i="7"/>
  <c r="D111"/>
  <c r="F111"/>
  <c r="E20" i="14"/>
  <c r="H21"/>
  <c r="G21"/>
  <c r="F20"/>
  <c r="H20"/>
  <c r="I21"/>
  <c r="I20"/>
  <c r="F121" i="7"/>
  <c r="D121"/>
  <c r="G121"/>
  <c r="E121"/>
  <c r="D37"/>
  <c r="E37"/>
  <c r="F37"/>
  <c r="D35"/>
  <c r="E35"/>
  <c r="F35"/>
  <c r="D31"/>
  <c r="E31"/>
  <c r="F31"/>
  <c r="D30"/>
  <c r="E30"/>
  <c r="F30"/>
  <c r="E7" i="8"/>
  <c r="F35"/>
  <c r="F34"/>
  <c r="F33"/>
  <c r="F32"/>
  <c r="F31"/>
  <c r="F30"/>
  <c r="F33" i="7"/>
  <c r="D15" i="11"/>
  <c r="D14"/>
  <c r="D3"/>
  <c r="D196" i="7"/>
  <c r="E196"/>
  <c r="F196"/>
  <c r="G196"/>
  <c r="D195"/>
  <c r="E195"/>
  <c r="F195"/>
  <c r="G195"/>
  <c r="D194"/>
  <c r="E194"/>
  <c r="F194"/>
  <c r="G194"/>
  <c r="D193"/>
  <c r="D197"/>
  <c r="E193"/>
  <c r="F193"/>
  <c r="G193"/>
  <c r="D167"/>
  <c r="E167"/>
  <c r="F167"/>
  <c r="G167"/>
  <c r="D33"/>
  <c r="E33"/>
  <c r="D29"/>
  <c r="E29"/>
  <c r="F29"/>
  <c r="D94"/>
  <c r="F10" i="14"/>
  <c r="E94" i="7"/>
  <c r="G10" i="14"/>
  <c r="G91" i="7"/>
  <c r="G94"/>
  <c r="I10" i="14"/>
  <c r="F91" i="7"/>
  <c r="F94"/>
  <c r="H10" i="14"/>
  <c r="F197" i="7"/>
  <c r="E197"/>
  <c r="G197"/>
  <c r="D99"/>
  <c r="D91"/>
  <c r="G96"/>
  <c r="G99"/>
  <c r="E99"/>
  <c r="E91"/>
  <c r="F99"/>
  <c r="F96"/>
  <c r="E96"/>
  <c r="D96"/>
  <c r="F12" i="14"/>
  <c r="G12"/>
  <c r="H12"/>
  <c r="I12"/>
  <c r="J4" i="8"/>
  <c r="B48" i="15"/>
  <c r="C47"/>
  <c r="D47"/>
  <c r="E47"/>
  <c r="F47"/>
  <c r="G47"/>
  <c r="C31"/>
  <c r="D31"/>
  <c r="E31"/>
  <c r="F31"/>
  <c r="G31"/>
  <c r="C17"/>
  <c r="D17"/>
  <c r="E17"/>
  <c r="F17"/>
  <c r="G17"/>
  <c r="C5"/>
  <c r="D5"/>
  <c r="E5"/>
  <c r="F5"/>
  <c r="G5"/>
  <c r="B56" i="12"/>
  <c r="B48"/>
  <c r="B40"/>
  <c r="B32"/>
  <c r="B24"/>
  <c r="E25" i="14"/>
  <c r="F25"/>
  <c r="G25"/>
  <c r="H25"/>
  <c r="I25"/>
  <c r="E17"/>
  <c r="F17"/>
  <c r="G17"/>
  <c r="H17"/>
  <c r="I17"/>
  <c r="E4"/>
  <c r="F4"/>
  <c r="G4"/>
  <c r="H4"/>
  <c r="I4"/>
  <c r="J16" i="8"/>
  <c r="J17"/>
  <c r="F22" i="14"/>
  <c r="G22"/>
  <c r="E22"/>
  <c r="H22"/>
  <c r="I22"/>
  <c r="C196" i="7"/>
  <c r="C194"/>
  <c r="C193"/>
  <c r="E60"/>
  <c r="G60"/>
  <c r="D60"/>
  <c r="F60"/>
  <c r="D4" i="11"/>
  <c r="E5" i="8"/>
  <c r="E6"/>
  <c r="E8"/>
  <c r="E9"/>
  <c r="E10"/>
  <c r="E11"/>
  <c r="E12"/>
  <c r="E4"/>
  <c r="E3"/>
  <c r="E7" i="12"/>
  <c r="E8"/>
  <c r="E9"/>
  <c r="E10"/>
  <c r="E11"/>
  <c r="E6"/>
  <c r="U15"/>
  <c r="V15"/>
  <c r="Q15"/>
  <c r="R15"/>
  <c r="S15"/>
  <c r="N15"/>
  <c r="O15"/>
  <c r="P15"/>
  <c r="U16"/>
  <c r="V16"/>
  <c r="Q16"/>
  <c r="R16"/>
  <c r="S16"/>
  <c r="N16"/>
  <c r="O16"/>
  <c r="P16"/>
  <c r="E16"/>
  <c r="F16"/>
  <c r="G16"/>
  <c r="H16"/>
  <c r="I16"/>
  <c r="J16"/>
  <c r="K16"/>
  <c r="L16"/>
  <c r="M16"/>
  <c r="W16"/>
  <c r="H26" i="14"/>
  <c r="I26"/>
  <c r="F26"/>
  <c r="G26"/>
  <c r="W15" i="12"/>
  <c r="F27" i="14"/>
  <c r="E14" i="11"/>
  <c r="E15"/>
  <c r="G27" i="14"/>
  <c r="H27"/>
  <c r="H28"/>
  <c r="I27"/>
  <c r="I28"/>
  <c r="F28"/>
  <c r="H15" i="11"/>
  <c r="H14"/>
  <c r="G28" i="14"/>
  <c r="G81" i="7"/>
  <c r="E8" i="14"/>
  <c r="I36" i="8"/>
  <c r="I35"/>
  <c r="I34"/>
  <c r="I33"/>
  <c r="I32"/>
  <c r="I31"/>
  <c r="I30"/>
  <c r="I27"/>
  <c r="I26"/>
  <c r="I25"/>
  <c r="I24"/>
  <c r="I23"/>
  <c r="I22"/>
  <c r="I21"/>
  <c r="I20"/>
  <c r="I18"/>
  <c r="F37"/>
  <c r="G37"/>
  <c r="F36"/>
  <c r="G36"/>
  <c r="F19"/>
  <c r="G19"/>
  <c r="F18"/>
  <c r="G18"/>
  <c r="G35"/>
  <c r="G34"/>
  <c r="G33"/>
  <c r="G32"/>
  <c r="G31"/>
  <c r="G30"/>
  <c r="F27"/>
  <c r="G27"/>
  <c r="F26"/>
  <c r="G26"/>
  <c r="F25"/>
  <c r="G25"/>
  <c r="F24"/>
  <c r="G24"/>
  <c r="F23"/>
  <c r="G23"/>
  <c r="F22"/>
  <c r="G22"/>
  <c r="F21"/>
  <c r="G21"/>
  <c r="F20"/>
  <c r="G20"/>
  <c r="C195" i="7"/>
  <c r="C167"/>
  <c r="G188"/>
  <c r="F188"/>
  <c r="E188"/>
  <c r="D188"/>
  <c r="C188"/>
  <c r="E81"/>
  <c r="G8" i="14"/>
  <c r="D81" i="7"/>
  <c r="F8" i="14"/>
  <c r="F81" i="7"/>
  <c r="H8" i="14"/>
  <c r="E27"/>
  <c r="E26"/>
  <c r="E28"/>
  <c r="E10"/>
  <c r="I8"/>
  <c r="F30" i="12"/>
  <c r="J20" i="8"/>
  <c r="K20"/>
  <c r="J29"/>
  <c r="K25"/>
  <c r="J25"/>
  <c r="K33"/>
  <c r="J33"/>
  <c r="K22"/>
  <c r="J22"/>
  <c r="K26"/>
  <c r="J26"/>
  <c r="K30"/>
  <c r="J30"/>
  <c r="K34"/>
  <c r="J34"/>
  <c r="J24"/>
  <c r="K24"/>
  <c r="J32"/>
  <c r="K32"/>
  <c r="K21"/>
  <c r="J21"/>
  <c r="J28"/>
  <c r="J23"/>
  <c r="K23"/>
  <c r="J27"/>
  <c r="K27"/>
  <c r="J31"/>
  <c r="K31"/>
  <c r="J35"/>
  <c r="K35"/>
  <c r="G13" i="14"/>
  <c r="I13"/>
  <c r="H13"/>
  <c r="E13"/>
  <c r="F13"/>
  <c r="J18" i="8"/>
  <c r="K18"/>
  <c r="J19"/>
  <c r="J36"/>
  <c r="K36"/>
  <c r="J37"/>
  <c r="D48" i="15"/>
  <c r="E48"/>
  <c r="F48"/>
  <c r="C197" i="7"/>
  <c r="C48" i="15"/>
  <c r="G48"/>
  <c r="E12" i="14"/>
  <c r="I30" i="12"/>
  <c r="H30"/>
  <c r="L30"/>
  <c r="G30"/>
  <c r="E70" i="7"/>
  <c r="G70"/>
  <c r="E71"/>
  <c r="D71"/>
  <c r="F71"/>
  <c r="G71"/>
  <c r="F61" i="12"/>
  <c r="F62"/>
  <c r="F37"/>
  <c r="F29"/>
  <c r="F38"/>
  <c r="F53"/>
  <c r="F54"/>
  <c r="F45"/>
  <c r="F46"/>
  <c r="K30"/>
  <c r="J30"/>
  <c r="G61" i="7"/>
  <c r="I5" i="14"/>
  <c r="I6"/>
  <c r="D61" i="7"/>
  <c r="F5" i="14"/>
  <c r="F6"/>
  <c r="D70" i="7"/>
  <c r="F7" i="14"/>
  <c r="G7"/>
  <c r="E5"/>
  <c r="E6"/>
  <c r="F61" i="7"/>
  <c r="H5" i="14"/>
  <c r="H6"/>
  <c r="E61" i="7"/>
  <c r="G5" i="14"/>
  <c r="G6"/>
  <c r="F70" i="7"/>
  <c r="H7" i="14"/>
  <c r="E7"/>
  <c r="I7"/>
  <c r="H29" i="12"/>
  <c r="L29"/>
  <c r="I29"/>
  <c r="G29"/>
  <c r="J37"/>
  <c r="G37"/>
  <c r="L37"/>
  <c r="H37"/>
  <c r="I37"/>
  <c r="H38"/>
  <c r="I38"/>
  <c r="G38"/>
  <c r="L38"/>
  <c r="D62" i="7"/>
  <c r="F11" i="14"/>
  <c r="H45" i="12"/>
  <c r="L45"/>
  <c r="I45"/>
  <c r="G45"/>
  <c r="I46"/>
  <c r="G46"/>
  <c r="H46"/>
  <c r="L46"/>
  <c r="E62" i="7"/>
  <c r="G11" i="14"/>
  <c r="G53" i="12"/>
  <c r="H53"/>
  <c r="I53"/>
  <c r="L53"/>
  <c r="F62" i="7"/>
  <c r="H11" i="14"/>
  <c r="G54" i="12"/>
  <c r="H54"/>
  <c r="I54"/>
  <c r="L54"/>
  <c r="G62" i="7"/>
  <c r="I11" i="14"/>
  <c r="L62" i="12"/>
  <c r="I62"/>
  <c r="G62"/>
  <c r="H62"/>
  <c r="I61"/>
  <c r="L61"/>
  <c r="G61"/>
  <c r="H61"/>
  <c r="E72" i="7"/>
  <c r="F72"/>
  <c r="G72"/>
  <c r="G101"/>
  <c r="D72"/>
  <c r="D101"/>
  <c r="J62" i="12"/>
  <c r="J61"/>
  <c r="K62"/>
  <c r="K61"/>
  <c r="J29"/>
  <c r="K29"/>
  <c r="K37"/>
  <c r="J38"/>
  <c r="K38"/>
  <c r="J45"/>
  <c r="K45"/>
  <c r="K54"/>
  <c r="J54"/>
  <c r="J46"/>
  <c r="K46"/>
  <c r="K53"/>
  <c r="J53"/>
  <c r="M30"/>
  <c r="E101" i="7"/>
  <c r="E189"/>
  <c r="E11" i="14"/>
  <c r="E14"/>
  <c r="F101" i="7"/>
  <c r="F189"/>
  <c r="G189"/>
  <c r="D189"/>
  <c r="M62" i="12"/>
  <c r="M29"/>
  <c r="M61"/>
  <c r="M37"/>
  <c r="M38"/>
  <c r="F14" i="14"/>
  <c r="G14"/>
  <c r="H14"/>
  <c r="I14"/>
  <c r="F35" i="12"/>
  <c r="L35"/>
  <c r="F51"/>
  <c r="L51"/>
  <c r="F59"/>
  <c r="L59"/>
  <c r="F43"/>
  <c r="L43"/>
  <c r="M45"/>
  <c r="M53"/>
  <c r="M46"/>
  <c r="M54"/>
  <c r="F27"/>
  <c r="L27"/>
  <c r="E6" i="15"/>
  <c r="G6"/>
  <c r="G18"/>
  <c r="F18"/>
  <c r="F6"/>
  <c r="D18"/>
  <c r="D6"/>
  <c r="C189" i="7"/>
  <c r="C18" i="15"/>
  <c r="C6"/>
  <c r="I43" i="12"/>
  <c r="G43"/>
  <c r="H43"/>
  <c r="K43"/>
  <c r="J43"/>
  <c r="H51"/>
  <c r="I51"/>
  <c r="G51"/>
  <c r="J51"/>
  <c r="K51"/>
  <c r="H59"/>
  <c r="J59"/>
  <c r="G59"/>
  <c r="I59"/>
  <c r="K59"/>
  <c r="I35"/>
  <c r="K35"/>
  <c r="G35"/>
  <c r="J35"/>
  <c r="H35"/>
  <c r="K27"/>
  <c r="G27"/>
  <c r="H27"/>
  <c r="J27"/>
  <c r="I27"/>
  <c r="E18" i="15"/>
  <c r="M35" i="12"/>
  <c r="M59"/>
  <c r="M51"/>
  <c r="M43"/>
  <c r="M27"/>
  <c r="F190" i="7"/>
  <c r="F191"/>
  <c r="E31" i="14"/>
  <c r="F31"/>
  <c r="F33"/>
  <c r="D7" i="15"/>
  <c r="G31" i="14"/>
  <c r="E190" i="7"/>
  <c r="E191"/>
  <c r="G190"/>
  <c r="G191"/>
  <c r="I31" i="14"/>
  <c r="H31"/>
  <c r="H33"/>
  <c r="D190" i="7"/>
  <c r="D191"/>
  <c r="D32" i="15"/>
  <c r="D184" i="7"/>
  <c r="I33" i="14"/>
  <c r="G184" i="7"/>
  <c r="E7" i="15"/>
  <c r="E184" i="7"/>
  <c r="G33" i="14"/>
  <c r="F184" i="7"/>
  <c r="F32" i="15"/>
  <c r="G7"/>
  <c r="G32"/>
  <c r="E32"/>
  <c r="E33" i="14"/>
  <c r="F7" i="15"/>
  <c r="C32"/>
  <c r="C7"/>
</calcChain>
</file>

<file path=xl/comments1.xml><?xml version="1.0" encoding="utf-8"?>
<comments xmlns="http://schemas.openxmlformats.org/spreadsheetml/2006/main">
  <authors>
    <author>PAHO LAN User</author>
  </authors>
  <commentList>
    <comment ref="G5" authorId="0">
      <text>
        <r>
          <rPr>
            <b/>
            <sz val="12"/>
            <color indexed="10"/>
            <rFont val="Tw Cen MT"/>
            <family val="2"/>
          </rPr>
          <t xml:space="preserve">This cell must remain </t>
        </r>
        <r>
          <rPr>
            <b/>
            <u/>
            <sz val="12"/>
            <color indexed="10"/>
            <rFont val="Tw Cen MT"/>
            <family val="2"/>
          </rPr>
          <t xml:space="preserve">blank in </t>
        </r>
        <r>
          <rPr>
            <b/>
            <sz val="12"/>
            <color indexed="10"/>
            <rFont val="Tw Cen MT"/>
            <family val="2"/>
          </rPr>
          <t xml:space="preserve">order to get estimates without the influence of access to antenatal care services </t>
        </r>
      </text>
    </comment>
    <comment ref="G6" authorId="0">
      <text>
        <r>
          <rPr>
            <sz val="10"/>
            <color indexed="12"/>
            <rFont val="Tahoma"/>
            <family val="2"/>
          </rPr>
          <t>HIV test coverage regardless of ANC attendance</t>
        </r>
      </text>
    </comment>
    <comment ref="G7" authorId="0">
      <text>
        <r>
          <rPr>
            <sz val="10"/>
            <color indexed="12"/>
            <rFont val="Tahoma"/>
            <family val="2"/>
          </rPr>
          <t xml:space="preserve">ART coverage regardless of ANC attendance and HIV test </t>
        </r>
      </text>
    </comment>
    <comment ref="G108" authorId="0">
      <text>
        <r>
          <rPr>
            <sz val="10"/>
            <color indexed="12"/>
            <rFont val="Tahoma"/>
            <family val="2"/>
          </rPr>
          <t xml:space="preserve">Syphilis test coverage regardless of ANC attendance </t>
        </r>
      </text>
    </comment>
    <comment ref="G109" authorId="0">
      <text>
        <r>
          <rPr>
            <sz val="10"/>
            <color indexed="12"/>
            <rFont val="Tahoma"/>
            <family val="2"/>
          </rPr>
          <t xml:space="preserve">Cobertura de tratamiento para mujeres que se realizaron la prueba y tuvieron resultados positivos, </t>
        </r>
        <r>
          <rPr>
            <u/>
            <sz val="10"/>
            <color indexed="12"/>
            <rFont val="Tahoma"/>
            <family val="2"/>
          </rPr>
          <t xml:space="preserve">independientemente </t>
        </r>
        <r>
          <rPr>
            <sz val="10"/>
            <color indexed="12"/>
            <rFont val="Tahoma"/>
            <family val="2"/>
          </rPr>
          <t>de la asistencia a servicios de atención prenatal</t>
        </r>
      </text>
    </comment>
  </commentList>
</comments>
</file>

<file path=xl/sharedStrings.xml><?xml version="1.0" encoding="utf-8"?>
<sst xmlns="http://schemas.openxmlformats.org/spreadsheetml/2006/main" count="742" uniqueCount="476">
  <si>
    <t>Percentage of pregnant women who had syphilis test (%)</t>
  </si>
  <si>
    <t>Percentage of pregnant women with maternal syphilis who received treatment by 24 weeks of pregnancy (%)</t>
  </si>
  <si>
    <t>Unit cost of syphilis test (screening)</t>
  </si>
  <si>
    <t>Unit cost of syphilis test (diagnosis for infants)</t>
  </si>
  <si>
    <t>HIV</t>
  </si>
  <si>
    <t xml:space="preserve">Costing Tool for the Elimination Iniciative </t>
  </si>
  <si>
    <t>EI</t>
  </si>
  <si>
    <t>Regional Initiative for the Elimination of Mother-to-Child Transmission of HIV and Congenital Syphilis in Latin America and the Caribbean</t>
  </si>
  <si>
    <t xml:space="preserve">United States Dollar </t>
  </si>
  <si>
    <t>ANC</t>
  </si>
  <si>
    <t>Antenatal Care</t>
  </si>
  <si>
    <t>Summary tables</t>
  </si>
  <si>
    <r>
      <t xml:space="preserve">Coverage of syphilis test among pregnant women </t>
    </r>
    <r>
      <rPr>
        <u/>
        <sz val="11"/>
        <rFont val="Tw Cen MT"/>
        <family val="2"/>
      </rPr>
      <t>who accessed ANC</t>
    </r>
    <r>
      <rPr>
        <sz val="11"/>
        <rFont val="Tw Cen MT"/>
        <family val="2"/>
      </rPr>
      <t xml:space="preserve"> 
* for '</t>
    </r>
    <r>
      <rPr>
        <i/>
        <u/>
        <sz val="11"/>
        <rFont val="Tw Cen MT"/>
        <family val="2"/>
      </rPr>
      <t>current scenario without ANC data</t>
    </r>
    <r>
      <rPr>
        <sz val="11"/>
        <rFont val="Tw Cen MT"/>
        <family val="2"/>
      </rPr>
      <t>', enter testing coverage regardless ANC attendance</t>
    </r>
  </si>
  <si>
    <t>Cost of a syphilis screening test per case</t>
  </si>
  <si>
    <t>Cost of a syphilis test for diagnosis of infection in infants</t>
  </si>
  <si>
    <t>Treatment for paediatric HIV infection</t>
  </si>
  <si>
    <t>Unit cost of ARVs</t>
  </si>
  <si>
    <r>
      <t xml:space="preserve">Unit cost for health services for each country are available from </t>
    </r>
    <r>
      <rPr>
        <sz val="11"/>
        <color indexed="12"/>
        <rFont val="Tw Cen MT"/>
        <family val="2"/>
      </rPr>
      <t>http://www.who.int/choice/costs/en/index.html</t>
    </r>
    <r>
      <rPr>
        <sz val="11"/>
        <color indexed="8"/>
        <rFont val="Tw Cen MT"/>
        <family val="2"/>
      </rPr>
      <t xml:space="preserve"> (Choosing interventions that are cost effective WHO-CHOICE)</t>
    </r>
  </si>
  <si>
    <t xml:space="preserve">Total number of visits to health facilities required from during pregnancy until 18 months after birth </t>
  </si>
  <si>
    <t>Expected wastage of drug</t>
  </si>
  <si>
    <t>If data are not available either enter 0 or keep default wastage rates (5% for tablets and 20% for syrups)</t>
  </si>
  <si>
    <t>Children whose mothers accessed PMTCT services</t>
  </si>
  <si>
    <t>2) Treatment for children without prior exposure to NVP</t>
  </si>
  <si>
    <t>Selected regimen
1. AZT+3TC+NVP
2. AZT+3TC+LPV/r</t>
  </si>
  <si>
    <t>Selected regimen
1. AZT+3TC+NVP
2. AZT+3TC+EFV
3. AZT+3TC+LPV/r</t>
  </si>
  <si>
    <t>Children whose mothers did not access PMTCT services</t>
  </si>
  <si>
    <t>Other costs related to paediatric HIV treatment</t>
  </si>
  <si>
    <t>Cost of co-trimoxazole prophylaxis for 5 years per child</t>
  </si>
  <si>
    <t>Cost of health service (out-patient visit) per visit</t>
  </si>
  <si>
    <t>Number of visits per year per child</t>
  </si>
  <si>
    <t>Cost of laboratory monitoring per year per child</t>
  </si>
  <si>
    <r>
      <t>Cost of co-trimoxazole prophylaxis for 5 years
If data is not available enter $50</t>
    </r>
    <r>
      <rPr>
        <vertAlign val="superscript"/>
        <sz val="11"/>
        <color indexed="8"/>
        <rFont val="Tw Cen MT"/>
        <family val="2"/>
      </rPr>
      <t>16</t>
    </r>
    <r>
      <rPr>
        <sz val="11"/>
        <color indexed="8"/>
        <rFont val="Tw Cen MT"/>
        <family val="2"/>
      </rPr>
      <t xml:space="preserve"> </t>
    </r>
  </si>
  <si>
    <r>
      <t xml:space="preserve">Unit cost for health services for each country are available from </t>
    </r>
    <r>
      <rPr>
        <sz val="11"/>
        <color indexed="12"/>
        <rFont val="Tw Cen MT"/>
        <family val="2"/>
      </rPr>
      <t xml:space="preserve">http://www.who.int/choice/costs/en/index.html </t>
    </r>
    <r>
      <rPr>
        <sz val="11"/>
        <color indexed="8"/>
        <rFont val="Tw Cen MT"/>
        <family val="2"/>
      </rPr>
      <t>(Choosing interventions that are cost effective WHO-CHOICE)</t>
    </r>
  </si>
  <si>
    <t>Required number of the visit to health facilities per year per child</t>
  </si>
  <si>
    <r>
      <t>Cost of laboratory monitoring per year for continuing case
If data is not available enter $190</t>
    </r>
    <r>
      <rPr>
        <vertAlign val="superscript"/>
        <sz val="11"/>
        <color indexed="8"/>
        <rFont val="Tw Cen MT"/>
        <family val="2"/>
      </rPr>
      <t xml:space="preserve">15 </t>
    </r>
  </si>
  <si>
    <t>Children on 2nd line regimen</t>
  </si>
  <si>
    <t>Rate of treatment failure (switch to 2nd line regimen) per year (%)</t>
  </si>
  <si>
    <t>Cost difference between 1st and 2nd line regimen (per person per year)</t>
  </si>
  <si>
    <t>Enter available data from the country</t>
  </si>
  <si>
    <r>
      <t xml:space="preserve">1) Enter data/unit costs in BLUE cells only 
2) Unit cost for ARVs and laboratory tests for each country are available from  </t>
    </r>
    <r>
      <rPr>
        <b/>
        <sz val="12"/>
        <color indexed="12"/>
        <rFont val="Tw Cen MT"/>
        <family val="2"/>
      </rPr>
      <t>http://www.who.int/hiv/amds/gprm/en/index.html</t>
    </r>
    <r>
      <rPr>
        <b/>
        <sz val="12"/>
        <rFont val="Tw Cen MT"/>
        <family val="2"/>
      </rPr>
      <t xml:space="preserve"> (WHO Global price reporting mechanism)
3) Unit cost for health services for each country are available from </t>
    </r>
    <r>
      <rPr>
        <b/>
        <sz val="12"/>
        <color indexed="12"/>
        <rFont val="Tw Cen MT"/>
        <family val="2"/>
      </rPr>
      <t>http://www.who.int/choice/costs/en/index.html</t>
    </r>
    <r>
      <rPr>
        <b/>
        <sz val="12"/>
        <rFont val="Tw Cen MT"/>
        <family val="2"/>
      </rPr>
      <t xml:space="preserve"> (Choosing interventions that are cost effective WHO-CHOICE)
4) Costs are in USD
Please contact Dr. Raúl González at </t>
    </r>
    <r>
      <rPr>
        <b/>
        <sz val="12"/>
        <color indexed="12"/>
        <rFont val="Tw Cen MT"/>
        <family val="2"/>
      </rPr>
      <t>gonzalra@paho.org</t>
    </r>
    <r>
      <rPr>
        <b/>
        <sz val="12"/>
        <rFont val="Tw Cen MT"/>
        <family val="2"/>
      </rPr>
      <t xml:space="preserve"> for further information</t>
    </r>
  </si>
  <si>
    <t xml:space="preserve">Please select 1 or 2 in the box below </t>
  </si>
  <si>
    <t>Please select 1, 2 or 3 in the box below</t>
  </si>
  <si>
    <t>Percentage of pregnant women who had the HIV test (%)</t>
  </si>
  <si>
    <t>Breastfeeding in general population (average in MONTHS)</t>
  </si>
  <si>
    <r>
      <t xml:space="preserve">Coverage of maternal syphilis treatment among pregnant women </t>
    </r>
    <r>
      <rPr>
        <u/>
        <sz val="11"/>
        <rFont val="Tw Cen MT"/>
        <family val="2"/>
      </rPr>
      <t>who accessed antenatal care and received syphilis test</t>
    </r>
    <r>
      <rPr>
        <sz val="11"/>
        <rFont val="Tw Cen MT"/>
        <family val="2"/>
      </rPr>
      <t xml:space="preserve">  
* for '</t>
    </r>
    <r>
      <rPr>
        <i/>
        <u/>
        <sz val="11"/>
        <rFont val="Tw Cen MT"/>
        <family val="2"/>
      </rPr>
      <t>current scenario without ANC data</t>
    </r>
    <r>
      <rPr>
        <sz val="11"/>
        <rFont val="Tw Cen MT"/>
        <family val="2"/>
      </rPr>
      <t>', enter coverage of treatment for women who were tested and found seropositive regardless ANC attendance</t>
    </r>
  </si>
  <si>
    <t xml:space="preserve">Number of HIV positive pregnant women </t>
  </si>
  <si>
    <t>Number of HIV positive pregnant women who received HIV testing and ARVs</t>
  </si>
  <si>
    <t>Expected number of children infected through MTCT whose mother accessed ANC, received HIV testing and ART or ARVs prophylaxis</t>
  </si>
  <si>
    <t xml:space="preserve">Expected number of children infected through MTCT whose mother either accessed ANC but did not receive HIV testing or did not access both ANC and HIV testing </t>
  </si>
  <si>
    <t>Total number of children infected with HIV through MTCT</t>
  </si>
  <si>
    <t>Total MTCT rate</t>
  </si>
  <si>
    <t>Total number of HIV infections averted</t>
  </si>
  <si>
    <t>Total cost of HIV testing (screening) for all pregnant women</t>
  </si>
  <si>
    <t>Total cost of HIV testing (confirmation) for HIV positive pregnant women</t>
  </si>
  <si>
    <t>Total cost of HIV testing for partners of HIV positive pregnant women</t>
  </si>
  <si>
    <t>Total cost of counselling for HIV positive pregnant women</t>
  </si>
  <si>
    <t>Total cost of CD4 test for HIV positive pregnant women (twice during antenatal)</t>
  </si>
  <si>
    <t>Unit cost of viral load</t>
  </si>
  <si>
    <t>Total cost of viral load for HIV positive pregnant women (twice during antenatal)</t>
  </si>
  <si>
    <t>Unit cost of ARVs (in USD)</t>
  </si>
  <si>
    <t xml:space="preserve">Tablets </t>
  </si>
  <si>
    <t>1)  Pregnant women who are eligible for ART for their own health</t>
  </si>
  <si>
    <t>Percentage of HIV positive pregnant women who are eligible for ART or already on ART (%)</t>
  </si>
  <si>
    <t>Percentage of ART eligible women who are on AZT+3TC+NVP (%)</t>
  </si>
  <si>
    <t>Percentage of ART eligible women who are on AZT+3TC+LPV/r (%)</t>
  </si>
  <si>
    <t>Selected regimen for child (AZT)</t>
  </si>
  <si>
    <t>Mother on ART: Cost of drug per mother on AZT+3TC+NVP</t>
  </si>
  <si>
    <t>Mother on ART: Cost of drug per mother on AZT+3TC+LPV/r</t>
  </si>
  <si>
    <t>Mother on ART: Cost of drug per child</t>
  </si>
  <si>
    <t>Total costs</t>
  </si>
  <si>
    <t>2) Pregnant women who are NOT eligible for ART for their own health</t>
  </si>
  <si>
    <t>Percentage of HIV positive pregnant women who are not eligible for ART (%)</t>
  </si>
  <si>
    <t>Selected regimen for mother
AZT+3TC+LPV/r with replacement feeding</t>
  </si>
  <si>
    <t>Cost of drug per mother</t>
  </si>
  <si>
    <t>Cost of drug per child</t>
  </si>
  <si>
    <t>Unit cost per tin (in USD)</t>
  </si>
  <si>
    <t>Cost of formula per child</t>
  </si>
  <si>
    <t xml:space="preserve">Percentage of HIV positive pregnant women who deliver by cesarean section </t>
  </si>
  <si>
    <t>Percentage of HIV positive pregnant women who have vaginal delivery</t>
  </si>
  <si>
    <t>Cost difference between caesarean section and vaginal delivery</t>
  </si>
  <si>
    <t>Additional cost of providing caesarean section for HIV positive pregnant women</t>
  </si>
  <si>
    <t>Total cost of co-trimoxazole prophylaxis for exposed children</t>
  </si>
  <si>
    <t>Total cost of laboratory diagnosis for exposed children</t>
  </si>
  <si>
    <t>Total cost of counselling for caregivers of HIV positive children</t>
  </si>
  <si>
    <t xml:space="preserve">Total number of visits (14 weeks of pregnancy till 18 months after birth) </t>
  </si>
  <si>
    <t>Total cost of health service for PMTCT</t>
  </si>
  <si>
    <t>Total costs of PMTCT</t>
  </si>
  <si>
    <t>Syphilis prevalence among pregnant women (%)</t>
  </si>
  <si>
    <t>Total cost of syphilis test for pregnant women (twice during antenatal)</t>
  </si>
  <si>
    <t>Total cost of syphilis test for partners of seropositive pregnant women</t>
  </si>
  <si>
    <t>Total cost of treatment for seropositive pregnant women (3 doses)</t>
  </si>
  <si>
    <t>Total cost of treatment for partners of seropositive pregnant women (1 dose)</t>
  </si>
  <si>
    <t>Total cost of treatment for infants born to seropositive women</t>
  </si>
  <si>
    <t>Total cost of diagnosis for infants born to seropositive women (serological test x 3 times)</t>
  </si>
  <si>
    <t>Total costs of prevention of congenital syphilis</t>
  </si>
  <si>
    <t>HIV, CD4 and Viral load testing</t>
  </si>
  <si>
    <t>Total cost of HIV test for exposed children whose mother did not access PMTCT services</t>
  </si>
  <si>
    <t>Total cost of initial CD4 test and viral load for HIV infected children</t>
  </si>
  <si>
    <t>Number of children with NVP exposure - mother on ART</t>
  </si>
  <si>
    <t>Cost of treatment per child</t>
  </si>
  <si>
    <t>Total cost of treatment</t>
  </si>
  <si>
    <r>
      <t xml:space="preserve">2) Treatment for children </t>
    </r>
    <r>
      <rPr>
        <b/>
        <i/>
        <u/>
        <sz val="11"/>
        <color indexed="12"/>
        <rFont val="Tw Cen MT"/>
        <family val="2"/>
      </rPr>
      <t>without</t>
    </r>
    <r>
      <rPr>
        <b/>
        <i/>
        <sz val="11"/>
        <color indexed="12"/>
        <rFont val="Tw Cen MT"/>
        <family val="2"/>
      </rPr>
      <t xml:space="preserve"> prior exposure to NVP</t>
    </r>
  </si>
  <si>
    <r>
      <t xml:space="preserve">1)  Treatment for children </t>
    </r>
    <r>
      <rPr>
        <b/>
        <i/>
        <u/>
        <sz val="11"/>
        <color indexed="12"/>
        <rFont val="Tw Cen MT"/>
        <family val="2"/>
      </rPr>
      <t>with</t>
    </r>
    <r>
      <rPr>
        <b/>
        <i/>
        <sz val="11"/>
        <color indexed="12"/>
        <rFont val="Tw Cen MT"/>
        <family val="2"/>
      </rPr>
      <t xml:space="preserve"> prior exposure to NVP (AZT/3TC/LPV/r)</t>
    </r>
  </si>
  <si>
    <t>Selected regimen 
1. AZT+3TC+NVP
2. AZT+3TC+LPV/r</t>
  </si>
  <si>
    <t>Number of children without prior exposure to NVP</t>
  </si>
  <si>
    <t>Children whose mothers did NOT access PMTCT services</t>
  </si>
  <si>
    <t>Number of children whose mothers did not access PMTCT services</t>
  </si>
  <si>
    <t>Total cost of co-trimoxazole prophylaxis for infected children</t>
  </si>
  <si>
    <t>Total cost of health service per child per year</t>
  </si>
  <si>
    <t>Total cost of health service (out-patient visit) for infected children</t>
  </si>
  <si>
    <t>Total cost of laboratory monitoring for infected children</t>
  </si>
  <si>
    <t>Additional cost due to treatment failure</t>
  </si>
  <si>
    <t>Years needed for all children to be on 2nd line</t>
  </si>
  <si>
    <t>Cost if all children switched to 2nd line</t>
  </si>
  <si>
    <t xml:space="preserve">Total costs of paediatric HIV treatment </t>
  </si>
  <si>
    <t>Grand total (cost of PMTCT + cost of prevention of congenital syphilis + cost of paediatric HIV treatment)</t>
  </si>
  <si>
    <t>Summary</t>
  </si>
  <si>
    <t>Total number of HIV infection averted (children protected from MTCT)</t>
  </si>
  <si>
    <t>Cost per infection averted (cost of PMTCT/# of infection averted)</t>
  </si>
  <si>
    <t>Average cost of paediatric treatment per child (cost of paediatric treatment/# of infected children)</t>
  </si>
  <si>
    <t>Total savings (average cost of paediatric treatment x # of infection averted - total cost of PMTCT)</t>
  </si>
  <si>
    <t>Total number of fetal loss and stillbirths due to syphilis averted</t>
  </si>
  <si>
    <t>Total number of perinatal deaths due to syphilis averted</t>
  </si>
  <si>
    <t>Total number of serious neonatal syphilis infection averted</t>
  </si>
  <si>
    <t>Total number of prematurity or low birth weight due to syphilis averted</t>
  </si>
  <si>
    <t>Cost per congenital syphilis case averted</t>
  </si>
  <si>
    <t>Total number of HIV positive pregnant women identified and referred for ART</t>
  </si>
  <si>
    <t>(costs are in USD)</t>
  </si>
  <si>
    <t>Costs per HIV positive pregnant woman and her exposed infant</t>
  </si>
  <si>
    <t>Total costs per given target population</t>
  </si>
  <si>
    <t>Costs per maternal syphilis case</t>
  </si>
  <si>
    <t>Costs per HIV positive child</t>
  </si>
  <si>
    <t>Not eligible for ART</t>
  </si>
  <si>
    <t>Eligible for ART (AZT/3TC/LPV/r)</t>
  </si>
  <si>
    <t>Eligible for ART (AZT/3TC/NVP)</t>
  </si>
  <si>
    <t>Laboratory costs</t>
  </si>
  <si>
    <t>Drug costs</t>
  </si>
  <si>
    <t>Health services</t>
  </si>
  <si>
    <t>Access to PMTCT + exposure to NVP</t>
  </si>
  <si>
    <t>Access to PMTCT + no exposure to NVP</t>
  </si>
  <si>
    <t>No access to PMTCT</t>
  </si>
  <si>
    <t>Cost per HIV infection averted</t>
  </si>
  <si>
    <t>Summary Graphs</t>
  </si>
  <si>
    <t>Cost of PMTCT and paediatric treatment</t>
  </si>
  <si>
    <t>Total savings on PMTCT*</t>
  </si>
  <si>
    <t xml:space="preserve"> *(average cost of paediatric treatment) x (# of infection averted) - (total cost of PMTCT)</t>
  </si>
  <si>
    <t>Cost per congenital syphilis averted</t>
  </si>
  <si>
    <t>3TC</t>
  </si>
  <si>
    <t>ABC</t>
  </si>
  <si>
    <t>Abacavir</t>
  </si>
  <si>
    <t>ARV</t>
  </si>
  <si>
    <t>Antirretroviral</t>
  </si>
  <si>
    <t>AZT</t>
  </si>
  <si>
    <t>CTEI</t>
  </si>
  <si>
    <t>CTX</t>
  </si>
  <si>
    <t>EFV</t>
  </si>
  <si>
    <t>Efavirenz</t>
  </si>
  <si>
    <t>FCH</t>
  </si>
  <si>
    <t>FTC</t>
  </si>
  <si>
    <t>LPV/r</t>
  </si>
  <si>
    <t>Lopinavir / ritonavir</t>
  </si>
  <si>
    <t>NCGM</t>
  </si>
  <si>
    <t>National Center for Global Health and Medicine</t>
  </si>
  <si>
    <t>NVP</t>
  </si>
  <si>
    <t>TDF</t>
  </si>
  <si>
    <t>Tenofovir</t>
  </si>
  <si>
    <t>USD</t>
  </si>
  <si>
    <t>WHO</t>
  </si>
  <si>
    <r>
      <t>14. WHO, Transaction prices for antiretrovira</t>
    </r>
    <r>
      <rPr>
        <sz val="11"/>
        <color indexed="63"/>
        <rFont val="Calibri"/>
        <family val="2"/>
      </rPr>
      <t xml:space="preserve">l </t>
    </r>
    <r>
      <rPr>
        <sz val="11"/>
        <color indexed="63"/>
        <rFont val="Tw Cen MT"/>
        <family val="2"/>
      </rPr>
      <t>medicines and HIV diagnostics from 2008 to March 2010: A summary report from the global price reporting mechanism. 2010: Geneva, Switzerland.</t>
    </r>
  </si>
  <si>
    <t>EFV+AZT+3TC*</t>
  </si>
  <si>
    <t>NR</t>
  </si>
  <si>
    <t>LPV/r+AZT+3TC</t>
  </si>
  <si>
    <t>no</t>
  </si>
  <si>
    <t>EFV+AZT+3TC</t>
  </si>
  <si>
    <t>Percentage of pregnant women tested HIV positive during ANC who received ARVs (%)</t>
  </si>
  <si>
    <t>10. WHO, UNAIDS, y UNICEF, Report from the Consultative Meeting on Updating Estimates of Mother-to-Child Transmission Rates of HIV, 1-2 September 2010. 2010: Washington DC.</t>
  </si>
  <si>
    <t>AZT/3TC/NVP 
60/30/50 mg/pastilla (3-25kg)
300/150/200 mg/pastilla (&gt;25kg)</t>
  </si>
  <si>
    <t>AZT/3TC
60/30 mg/pastilla (3-25kg)
300/150 mg/pastilla (&gt;25kg)</t>
  </si>
  <si>
    <t>LPV/r
80/20 mg/ml (3-10kg)
100/25 mg/pastilla (&gt;10kg)</t>
  </si>
  <si>
    <t>EFV 200 mg/pastilla</t>
  </si>
  <si>
    <r>
      <t>T</t>
    </r>
    <r>
      <rPr>
        <sz val="11"/>
        <rFont val="Tw Cen MT"/>
        <family val="2"/>
      </rPr>
      <t>he original tool was developed by the National Center for Global Health and Medicine, Japan (NCGM), to be initially used in the context of Asia-Pacific Region as result of a collaborative work with the Asia-Pacific United Nations Task Force for the Prevention of Parents-to-Child Transmission of HIV. The tool has been adapted to the context of Latin America and the Caribbean (LAC), through a collaboration between the NCGM and the Area of Family and Community Health (FCH) in the Pan American Health Organization / World Health Organization (PAHO/WHO).</t>
    </r>
  </si>
  <si>
    <t>General instructions for using this costing tool</t>
  </si>
  <si>
    <t>Scenario</t>
  </si>
  <si>
    <t>Enter scenario description (e.g. 90% HIV testing coverage 90% PMTCT coverage)</t>
  </si>
  <si>
    <t>Estimated number of births</t>
  </si>
  <si>
    <t>Estimated number of births per year (or per defined period) per target population</t>
  </si>
  <si>
    <t>HIV prevalence among pregnant women (%)</t>
  </si>
  <si>
    <t xml:space="preserve">ANC attendance (%) </t>
  </si>
  <si>
    <t>Percentage of women who accessed antenatal care (at least 4 visits, first visit before week 14)</t>
  </si>
  <si>
    <t>Percentage of pregnant women tested HIV positive who received ARVs (%)</t>
  </si>
  <si>
    <t>PMTCT</t>
  </si>
  <si>
    <t>-</t>
  </si>
  <si>
    <t>LPV/r 80mg/ 20mg</t>
  </si>
  <si>
    <t>ABC 300mg</t>
  </si>
  <si>
    <t>AZT 10mg/ml</t>
  </si>
  <si>
    <t>AZT 300mg</t>
  </si>
  <si>
    <t>AZT 300mg/3TC 150mg</t>
  </si>
  <si>
    <t>AZT 300mg/3TC 150mg/NVP 200mg</t>
  </si>
  <si>
    <t>EFV 600mg</t>
  </si>
  <si>
    <t>LPV/r 200mg/50mg</t>
  </si>
  <si>
    <t>NVP 10mg/ml</t>
  </si>
  <si>
    <t>TDF 300mg/3TC 300mg/EFV 600mg</t>
  </si>
  <si>
    <t>TDF 300mg/FTC 200mg/EFV 600mg</t>
  </si>
  <si>
    <t>AZT 60mg/3TC 30mg/NVP 50mg</t>
  </si>
  <si>
    <t>AZT 60mg/3TC 30mg</t>
  </si>
  <si>
    <t>LPV/r 80mg/20mg</t>
  </si>
  <si>
    <t>LPV/r 100 mg/25 mg</t>
  </si>
  <si>
    <t>EFV 200mg</t>
  </si>
  <si>
    <t>Total</t>
  </si>
  <si>
    <t>NVP+AZT+3TC</t>
  </si>
  <si>
    <t>AZT + 3TC + NVP</t>
  </si>
  <si>
    <t xml:space="preserve">AZT + 3TC + LPV/r </t>
  </si>
  <si>
    <t>AZT + 3TC + ABC</t>
  </si>
  <si>
    <t>AZT + 3TC + EFV</t>
  </si>
  <si>
    <t>TDF + 3TC + EFV</t>
  </si>
  <si>
    <t>TDF + FTC + EFV</t>
  </si>
  <si>
    <t>Drug wastage (%)</t>
  </si>
  <si>
    <t xml:space="preserve">Percentage of ART eligible women who are on AZT+3TC+NVP (%) </t>
  </si>
  <si>
    <t>Enter the percentage based on available data in the country, otherwise keep 40% as default</t>
  </si>
  <si>
    <t>Among women who are eligible for ART, percentage of women who initiate AZT+3TC+NVP</t>
  </si>
  <si>
    <t>Replacement feeding</t>
  </si>
  <si>
    <t>Unit cost of formula per tin</t>
  </si>
  <si>
    <t>Volume of formula per 50ml of water (g)</t>
  </si>
  <si>
    <t>Developed by National Center for Global Health and Medicine (Naoko Ishikawa, Takuro Shimbo, et al.) 
in collaboration with Pan American Health Organization  / World Health Organization
© National Center for Global Health and Medicine, Tokyo, Japan</t>
  </si>
  <si>
    <t>1. About this tool</t>
  </si>
  <si>
    <t>There are several assumptions that should carefully be taken into account for a proper use of this tool. These assumptions reflect:</t>
  </si>
  <si>
    <t xml:space="preserve">Prevention of new paediatric HIV infections and congenital syphilis (references 4,5, and 11) </t>
  </si>
  <si>
    <t xml:space="preserve">1) Pregnant women had the first antenatal visit at 14 weeks of pregnancy. </t>
  </si>
  <si>
    <t>2) Pregnant women were tested once for HIV during the antenatal visit. If tested positive, a confirmatory test was provided.</t>
  </si>
  <si>
    <t>3) HIV-infected pregnant women were assessed for CD4 counts and viral load (VL) twice during pregnancy.</t>
  </si>
  <si>
    <t>4) Partners of HIV-infected pregnant women were also tested for HIV.</t>
  </si>
  <si>
    <t>6) HIV-infected pregnant women who do not need treatment for their own health started triple ARV prophylaxis (AZT+3TC+LPV/r) from the week 14 and continued until delivery.</t>
  </si>
  <si>
    <t>7) HIV-infected pregnant women who were eligible for antiretroviral therapy (ART) initiated treatment from the week 14 and continued thereafter. However, costs of ART were included only for antenatal period.</t>
  </si>
  <si>
    <t>9) There was no still birth and/or neonatal death.</t>
  </si>
  <si>
    <t>11) HIV-exposed infants whose mother has received ARV prophylaxis or ART received AZT for 6 weeks.</t>
  </si>
  <si>
    <t>12) Exposed infants started co-trimoxazole prophylaxis at 4 weeks and continued until 18 months (i.e. for 17 months).</t>
  </si>
  <si>
    <t>13) Exposed infants were tested twice by virological testing and once by serological testing.</t>
  </si>
  <si>
    <r>
      <t>A</t>
    </r>
    <r>
      <rPr>
        <sz val="12"/>
        <rFont val="Tw Cen MT"/>
        <family val="2"/>
      </rPr>
      <t>cronyms</t>
    </r>
  </si>
  <si>
    <t>14) Both mother and exposed infants received follow up until the child reaches 18 months of age.</t>
  </si>
  <si>
    <t>15) Pregnant women were tested twice for syphilis during antenatal period.</t>
  </si>
  <si>
    <t>16) Partners of syphilis seropositive women were also tested for syphilis.</t>
  </si>
  <si>
    <t>19) Infants born to seropositive mothers received serological testing for 3 times to exclude syphilis infection.</t>
  </si>
  <si>
    <t xml:space="preserve">Treatment for paediatric HIV infection  (references 6, 7, 8, 9, and 10) </t>
  </si>
  <si>
    <t>2) HIV exposed infants whose mother did not access PMTCT services were tested for HIV at 6 weeks by virological testing. If found positive, a confirmatory test was provided and ART was initiated.</t>
  </si>
  <si>
    <t>3) HIV infected children were assessed for CD4 counts and viral load (VL)</t>
  </si>
  <si>
    <t>4) HIV infected children received co-trimoxazole prophylaxis until the age of 5.</t>
  </si>
  <si>
    <t>5) HIV infected children received ART up to the age of 15 based on WHO guidelines 'Antiretroviral therapy for HIV infection in infants and children: towards universal access, recommendations for a public health approach 2010 version'.</t>
  </si>
  <si>
    <r>
      <t>T</t>
    </r>
    <r>
      <rPr>
        <sz val="11"/>
        <rFont val="Tw Cen MT"/>
        <family val="2"/>
      </rPr>
      <t xml:space="preserve">his tool is expected to assist in estimating the economic resources needed at national or sub-national level to achieve the goals of the Regional Initiative for the Elimination of Mother-to-child transmission of HIV and congenital syphilis in Latin America and the Caribbean (EI). This information will enable stakeholders to budget the required standard package of services that has been already identified.  The CTEI may be used as an aid to prepare proposals for donors for resource mobilization, by governments or agencies, among others.
This tool will only provide </t>
    </r>
    <r>
      <rPr>
        <u/>
        <sz val="11"/>
        <rFont val="Tw Cen MT"/>
        <family val="2"/>
      </rPr>
      <t>estimates</t>
    </r>
    <r>
      <rPr>
        <sz val="11"/>
        <rFont val="Tw Cen MT"/>
        <family val="2"/>
      </rPr>
      <t>. Actual final costs may vary due to several circumstances such as changes in conditions of market prices in countries, in the price sources used for the calculations, or in the conditions of agreements, among others.</t>
    </r>
  </si>
  <si>
    <t xml:space="preserve">The estimated initial cost responds to the investment of resources needed to cover most of the components of the prevention of mother to child transmission of HIV and congenital syphilis in a year (or the defined time period). The resulting cost savings come from the averted cost of care and treatment of children who would become infected due to lack of intervention during their first 15 years. </t>
  </si>
  <si>
    <r>
      <t>T</t>
    </r>
    <r>
      <rPr>
        <sz val="11"/>
        <color indexed="8"/>
        <rFont val="Tw Cen MT"/>
        <family val="2"/>
      </rPr>
      <t>o optimize the use of the tool, an ideal scenario has been devised (</t>
    </r>
    <r>
      <rPr>
        <b/>
        <i/>
        <sz val="11"/>
        <color indexed="8"/>
        <rFont val="Tw Cen MT"/>
        <family val="2"/>
      </rPr>
      <t>Target Scenario</t>
    </r>
    <r>
      <rPr>
        <sz val="11"/>
        <color indexed="8"/>
        <rFont val="Tw Cen MT"/>
        <family val="2"/>
      </rPr>
      <t>), considering the practice in LAC, in which all elements of the EI are implemented at their maximum extent (and so will the cost). The tool can compare the current scenario (</t>
    </r>
    <r>
      <rPr>
        <b/>
        <i/>
        <sz val="11"/>
        <color indexed="8"/>
        <rFont val="Tw Cen MT"/>
        <family val="2"/>
      </rPr>
      <t>Current Scenario with ANC data</t>
    </r>
    <r>
      <rPr>
        <sz val="11"/>
        <color indexed="8"/>
        <rFont val="Tw Cen MT"/>
        <family val="2"/>
      </rPr>
      <t xml:space="preserve">, if ANC data are available, </t>
    </r>
    <r>
      <rPr>
        <b/>
        <i/>
        <sz val="11"/>
        <color indexed="8"/>
        <rFont val="Tw Cen MT"/>
        <family val="2"/>
      </rPr>
      <t>Current Scenario without ANC data</t>
    </r>
    <r>
      <rPr>
        <sz val="11"/>
        <color indexed="8"/>
        <rFont val="Tw Cen MT"/>
        <family val="2"/>
      </rPr>
      <t xml:space="preserve">, if ANC data are not available) mid-term goal scenarios (e.g. 80% coverage) </t>
    </r>
    <r>
      <rPr>
        <i/>
        <sz val="11"/>
        <color indexed="8"/>
        <rFont val="Tw Cen MT"/>
        <family val="2"/>
      </rPr>
      <t>(</t>
    </r>
    <r>
      <rPr>
        <b/>
        <i/>
        <sz val="11"/>
        <color indexed="8"/>
        <rFont val="Tw Cen MT"/>
        <family val="2"/>
      </rPr>
      <t>Intermediate Scenarios 1 and 2</t>
    </r>
    <r>
      <rPr>
        <sz val="11"/>
        <color indexed="8"/>
        <rFont val="Tw Cen MT"/>
        <family val="2"/>
      </rPr>
      <t>), and ideal/goal scenario (</t>
    </r>
    <r>
      <rPr>
        <u/>
        <sz val="11"/>
        <color indexed="8"/>
        <rFont val="Tw Cen MT"/>
        <family val="2"/>
      </rPr>
      <t>95% coverage or 100% coverage</t>
    </r>
    <r>
      <rPr>
        <sz val="11"/>
        <color indexed="8"/>
        <rFont val="Tw Cen MT"/>
        <family val="2"/>
      </rPr>
      <t>) (</t>
    </r>
    <r>
      <rPr>
        <b/>
        <i/>
        <sz val="11"/>
        <color indexed="8"/>
        <rFont val="Tw Cen MT"/>
        <family val="2"/>
      </rPr>
      <t>Target Scenario</t>
    </r>
    <r>
      <rPr>
        <sz val="11"/>
        <color indexed="8"/>
        <rFont val="Tw Cen MT"/>
        <family val="2"/>
      </rPr>
      <t>). Without adequate or reliable ANC data, the use of the column "</t>
    </r>
    <r>
      <rPr>
        <b/>
        <i/>
        <sz val="11"/>
        <color indexed="8"/>
        <rFont val="Tw Cen MT"/>
        <family val="2"/>
      </rPr>
      <t>Current Scenario without ANC data</t>
    </r>
    <r>
      <rPr>
        <sz val="11"/>
        <color indexed="8"/>
        <rFont val="Tw Cen MT"/>
        <family val="2"/>
      </rPr>
      <t>" for the current scenario is suggested. The costing tool allows to estimate countries' current scenario by entering testing and treatment coverage data, minimizing the impact of attendance to antenatal care.</t>
    </r>
  </si>
  <si>
    <r>
      <t xml:space="preserve">• The goals of the EI: to achieve elimination of MTCT of HIV and congenital syphilis, as defined in the concept paper of the EI.
• The conditions required to achieve the EI goals:
  - coverage of antenatal care and skilled attendance at birth to 95 percent or more 
  - coverage of routine HIV and syphilis screening of pregnant women to 95 percent or more 
  - coverage of adequate HIV prophylactic management and treatment of syphilis in pregnant women and HIV prophylactic management of HIV in children to 95 percent or more 
• The package of required interventions and the scientific and technical specificities come from the recommendations published in the </t>
    </r>
    <r>
      <rPr>
        <i/>
        <sz val="11"/>
        <color indexed="8"/>
        <rFont val="Tw Cen MT"/>
        <family val="2"/>
      </rPr>
      <t>Clinical Guideline for the Elimination of Mother-to-child transmission of HIV and congenital syphilis in Latin America and the Caribbean.</t>
    </r>
  </si>
  <si>
    <r>
      <t xml:space="preserve">Current Scenario 
</t>
    </r>
    <r>
      <rPr>
        <b/>
        <u/>
        <sz val="12"/>
        <color indexed="8"/>
        <rFont val="Tw Cen MT"/>
        <family val="2"/>
      </rPr>
      <t>with</t>
    </r>
    <r>
      <rPr>
        <b/>
        <sz val="12"/>
        <color indexed="8"/>
        <rFont val="Tw Cen MT"/>
        <family val="2"/>
      </rPr>
      <t xml:space="preserve"> ANC data</t>
    </r>
  </si>
  <si>
    <r>
      <t xml:space="preserve">Current Scenario </t>
    </r>
    <r>
      <rPr>
        <b/>
        <u/>
        <sz val="12"/>
        <color indexed="8"/>
        <rFont val="Tw Cen MT"/>
        <family val="2"/>
      </rPr>
      <t xml:space="preserve">without </t>
    </r>
    <r>
      <rPr>
        <b/>
        <sz val="12"/>
        <color indexed="8"/>
        <rFont val="Tw Cen MT"/>
        <family val="2"/>
      </rPr>
      <t>ANC data</t>
    </r>
  </si>
  <si>
    <t>6) HIV infected children received follow up together with periodical laboratory monitoring.</t>
  </si>
  <si>
    <t>7) There was no default or loss to follow up among children on ART.</t>
  </si>
  <si>
    <t>8) No children were admitted to in-patient care.</t>
  </si>
  <si>
    <t>* References used for the development of the model are included in the sheet "References"</t>
  </si>
  <si>
    <r>
      <t>T</t>
    </r>
    <r>
      <rPr>
        <sz val="11"/>
        <rFont val="Tw Cen MT"/>
        <family val="2"/>
      </rPr>
      <t xml:space="preserve">his tool is NOT a modeling tool for calculating the transmission rate, so it should not be used for this purpose. Certain differences may be observed if compared with tools specifically designed to model transmission rates.  </t>
    </r>
  </si>
  <si>
    <r>
      <t>T</t>
    </r>
    <r>
      <rPr>
        <sz val="11"/>
        <color indexed="8"/>
        <rFont val="Tw Cen MT"/>
        <family val="2"/>
      </rPr>
      <t>his tool consists of:</t>
    </r>
  </si>
  <si>
    <r>
      <t>2.</t>
    </r>
    <r>
      <rPr>
        <sz val="12"/>
        <color indexed="8"/>
        <rFont val="Tw Cen MT"/>
        <family val="2"/>
      </rPr>
      <t xml:space="preserve"> </t>
    </r>
    <r>
      <rPr>
        <b/>
        <sz val="12"/>
        <color indexed="8"/>
        <rFont val="Tw Cen MT"/>
        <family val="2"/>
      </rPr>
      <t xml:space="preserve">Instructions </t>
    </r>
    <r>
      <rPr>
        <sz val="12"/>
        <color indexed="8"/>
        <rFont val="Tw Cen MT"/>
        <family val="2"/>
      </rPr>
      <t>to explain how to use this tool</t>
    </r>
  </si>
  <si>
    <r>
      <t xml:space="preserve">3. Costing tool </t>
    </r>
    <r>
      <rPr>
        <sz val="12"/>
        <color indexed="8"/>
        <rFont val="Tw Cen MT"/>
        <family val="2"/>
      </rPr>
      <t>to calculate and estimate the costs</t>
    </r>
  </si>
  <si>
    <r>
      <t xml:space="preserve">4. Summary table </t>
    </r>
    <r>
      <rPr>
        <sz val="12"/>
        <color indexed="8"/>
        <rFont val="Tw Cen MT"/>
        <family val="2"/>
      </rPr>
      <t>of estimated costs</t>
    </r>
  </si>
  <si>
    <r>
      <t xml:space="preserve">5. Summary graphs </t>
    </r>
    <r>
      <rPr>
        <sz val="12"/>
        <color indexed="8"/>
        <rFont val="Tw Cen MT"/>
        <family val="2"/>
      </rPr>
      <t>of main results</t>
    </r>
  </si>
  <si>
    <r>
      <t xml:space="preserve">6. Drug costs for PMTCT, </t>
    </r>
    <r>
      <rPr>
        <sz val="12"/>
        <color indexed="8"/>
        <rFont val="Tw Cen MT"/>
        <family val="2"/>
      </rPr>
      <t>detailed information on estimation of drug costs for PMTCT</t>
    </r>
  </si>
  <si>
    <r>
      <t xml:space="preserve">7. Cost for replacement feeding, </t>
    </r>
    <r>
      <rPr>
        <sz val="12"/>
        <color indexed="8"/>
        <rFont val="Tw Cen MT"/>
        <family val="2"/>
      </rPr>
      <t>detailed information on estimation of replacement feeding</t>
    </r>
  </si>
  <si>
    <r>
      <t>8. Drug costs for paediatric HIV</t>
    </r>
    <r>
      <rPr>
        <sz val="12"/>
        <color indexed="8"/>
        <rFont val="Tw Cen MT"/>
        <family val="2"/>
      </rPr>
      <t>, detailed information on estimation of drug costs for paediatric HIV</t>
    </r>
  </si>
  <si>
    <r>
      <t>9.</t>
    </r>
    <r>
      <rPr>
        <sz val="12"/>
        <color indexed="8"/>
        <rFont val="Tw Cen MT"/>
        <family val="2"/>
      </rPr>
      <t xml:space="preserve"> </t>
    </r>
    <r>
      <rPr>
        <b/>
        <sz val="12"/>
        <color indexed="8"/>
        <rFont val="Tw Cen MT"/>
        <family val="2"/>
      </rPr>
      <t xml:space="preserve">References </t>
    </r>
    <r>
      <rPr>
        <sz val="12"/>
        <color indexed="8"/>
        <rFont val="Tw Cen MT"/>
        <family val="2"/>
      </rPr>
      <t>for development of the model for this tool</t>
    </r>
  </si>
  <si>
    <t xml:space="preserve">Unit cost of viral load </t>
  </si>
  <si>
    <t>Tablets</t>
  </si>
  <si>
    <t>Syrups</t>
  </si>
  <si>
    <t xml:space="preserve">Expected wastage of drug.
If data are not available either enter 0 or keep default wastage rates (5% for tablets and 20% for syrups) </t>
  </si>
  <si>
    <t xml:space="preserve">1) Pregnant women who are eligible for ART for their own health </t>
  </si>
  <si>
    <t xml:space="preserve">Percentage of HIV positive pregnant women who are eligible for ART or already on ART (%) </t>
  </si>
  <si>
    <t>FROM COSTING TO PLANNING: 
A TOOL TO SUPPORT THE REGIONAL INITIATIVE FOR THE ELIMINATION OF MOTHER-TO-CHILD TRANSMISSION OF HIV AND CONGENITAL SYPHILIS IN LATIN AMERICA AND THE CARIBBEAN (CTEI)</t>
  </si>
  <si>
    <t>17) Cases of maternal syphilis were treated with benzylpenicillin 2.4million unit x 3doses.</t>
  </si>
  <si>
    <t>18) Infants born to seropositive mothers received benzylpenicillin G 150,000 unit x 1dose.</t>
  </si>
  <si>
    <t xml:space="preserve">20) Partners of seropositive women were treated with benzylpenicillin 2.4million unit x 1dose. </t>
  </si>
  <si>
    <r>
      <t xml:space="preserve">1) Risk of mother-to-child transmission of HIV was estimated as follows.
       ARV prophylaxis + replacement feeding - 0.5 - 2% transmission
       no-ARV prophylaxis -   </t>
    </r>
    <r>
      <rPr>
        <sz val="11"/>
        <color indexed="10"/>
        <rFont val="Tw Cen MT"/>
        <family val="2"/>
      </rPr>
      <t xml:space="preserve"> </t>
    </r>
    <r>
      <rPr>
        <sz val="11"/>
        <rFont val="Tw Cen MT"/>
        <family val="2"/>
      </rPr>
      <t>15-32% transmission + breastfeeding</t>
    </r>
  </si>
  <si>
    <t>Prevalence among pregnant women (including women diagnosed and on ART previous to pregnancy) or, if not available, adult (15-49) prevalence</t>
  </si>
  <si>
    <t>VCT</t>
  </si>
  <si>
    <t>Voluntary counseling and testing</t>
  </si>
  <si>
    <r>
      <t xml:space="preserve">Cost of each drug (per tablet or ml)  
Unit cost for ARVs and laboratory tests for each country are available from  </t>
    </r>
    <r>
      <rPr>
        <sz val="11"/>
        <color indexed="12"/>
        <rFont val="Tw Cen MT"/>
        <family val="2"/>
      </rPr>
      <t>http://www.who.int/hiv/amds/gprm/en/index.html</t>
    </r>
    <r>
      <rPr>
        <sz val="11"/>
        <color indexed="8"/>
        <rFont val="Tw Cen MT"/>
        <family val="2"/>
      </rPr>
      <t xml:space="preserve"> (WHO Global price reporting mechanism)
</t>
    </r>
    <r>
      <rPr>
        <sz val="11"/>
        <rFont val="Tw Cen MT"/>
        <family val="2"/>
      </rPr>
      <t>Costs included by default are PAHO Strategic Fund prices</t>
    </r>
  </si>
  <si>
    <t>Length of replacement feeding (0, 6, 12, 18 months)</t>
  </si>
  <si>
    <t>Cost of cesarean section (including AZT iv)</t>
  </si>
  <si>
    <t>Cost of vaginal birth (including AZT iv)</t>
  </si>
  <si>
    <t>Cost of cesarean section (including AZT iv) (in USD)</t>
  </si>
  <si>
    <t>Cost (in USD) of performing a cesarean section to HIV positive women, including the cost of AZT iv</t>
  </si>
  <si>
    <t>Cost (in USD) of performing a vaginal birth to HIV positive women, including the cost of AZT iv</t>
  </si>
  <si>
    <r>
      <t xml:space="preserve">Cost of each drug (per tablet or ml) 
Unit cost for ARVs and laboratory tests for each country are available from  </t>
    </r>
    <r>
      <rPr>
        <sz val="11"/>
        <color indexed="12"/>
        <rFont val="Tw Cen MT"/>
        <family val="2"/>
      </rPr>
      <t>http://www.who.int/hiv/amds/gprm/en/index.html</t>
    </r>
    <r>
      <rPr>
        <sz val="11"/>
        <color indexed="8"/>
        <rFont val="Tw Cen MT"/>
        <family val="2"/>
      </rPr>
      <t xml:space="preserve"> (WHO Global price reporting mechanism)
The </t>
    </r>
    <r>
      <rPr>
        <sz val="11"/>
        <rFont val="Tw Cen MT"/>
        <family val="2"/>
      </rPr>
      <t>costs included by default in this tool are PAHO Strategic Fund prices</t>
    </r>
  </si>
  <si>
    <r>
      <t xml:space="preserve">(annual cost of selected 1st line regimen) - (annual cost of mostly used 2nd line regimen)
</t>
    </r>
    <r>
      <rPr>
        <sz val="11"/>
        <rFont val="Tw Cen MT"/>
        <family val="2"/>
      </rPr>
      <t>* It is assumed that 2nd line regimen is: ABC+3TC+LPV/r</t>
    </r>
  </si>
  <si>
    <r>
      <t xml:space="preserve">Pregnant women with HIV diagnosis previous to current pregnancy who receive </t>
    </r>
    <r>
      <rPr>
        <sz val="11"/>
        <rFont val="Tw Cen MT"/>
        <family val="2"/>
      </rPr>
      <t>ART</t>
    </r>
    <r>
      <rPr>
        <sz val="11"/>
        <color indexed="10"/>
        <rFont val="Tw Cen MT"/>
        <family val="2"/>
      </rPr>
      <t xml:space="preserve"> </t>
    </r>
    <r>
      <rPr>
        <sz val="11"/>
        <color indexed="8"/>
        <rFont val="Tw Cen MT"/>
        <family val="2"/>
      </rPr>
      <t>(%)</t>
    </r>
  </si>
  <si>
    <r>
      <t xml:space="preserve">Expected mother-to-child HIV transmission rate without intervention (%) (women with CD4 &lt; 350)
</t>
    </r>
    <r>
      <rPr>
        <sz val="11"/>
        <color indexed="10"/>
        <rFont val="Tw Cen MT"/>
        <family val="2"/>
      </rPr>
      <t xml:space="preserve"> </t>
    </r>
    <r>
      <rPr>
        <sz val="11"/>
        <rFont val="Tw Cen MT"/>
        <family val="2"/>
      </rPr>
      <t xml:space="preserve">(32 % + breastfeeding)  </t>
    </r>
  </si>
  <si>
    <t xml:space="preserve">Expected mother-to-child HIV transmission rate without intervention (%) (women with CD4 &gt; 350)
 (15 % + breastfeeding) </t>
  </si>
  <si>
    <r>
      <t xml:space="preserve">Expected mother-to-child HIV transmission rate with intervention in pregnant women diagnosed during pregnancy:  2%
 (It is assumed that there is </t>
    </r>
    <r>
      <rPr>
        <b/>
        <sz val="11"/>
        <color indexed="8"/>
        <rFont val="Tw Cen MT"/>
        <family val="2"/>
      </rPr>
      <t>no</t>
    </r>
    <r>
      <rPr>
        <sz val="11"/>
        <color indexed="8"/>
        <rFont val="Tw Cen MT"/>
        <family val="2"/>
      </rPr>
      <t xml:space="preserve"> breastfeeding) </t>
    </r>
  </si>
  <si>
    <r>
      <t xml:space="preserve">Expected mother-to-child HIV transmission rate with intervention in pregnant women on ART previous to pregnancy:  0.5%
 (It is assumed that there is </t>
    </r>
    <r>
      <rPr>
        <b/>
        <sz val="11"/>
        <color indexed="8"/>
        <rFont val="Tw Cen MT"/>
        <family val="2"/>
      </rPr>
      <t>no</t>
    </r>
    <r>
      <rPr>
        <sz val="11"/>
        <color indexed="8"/>
        <rFont val="Tw Cen MT"/>
        <family val="2"/>
      </rPr>
      <t xml:space="preserve"> breastfeeding) </t>
    </r>
  </si>
  <si>
    <t>Weight of formula per tin (in grams)</t>
  </si>
  <si>
    <t>Period of formula milk provision for children of HIV-infected mothers</t>
  </si>
  <si>
    <t>Weight of formula per tin (g)</t>
  </si>
  <si>
    <r>
      <t xml:space="preserve">Expected number of children infected through MTCT whose mother accessed ANC and received HIV testing, but did </t>
    </r>
    <r>
      <rPr>
        <b/>
        <sz val="11"/>
        <color indexed="8"/>
        <rFont val="Tw Cen MT"/>
        <family val="2"/>
      </rPr>
      <t xml:space="preserve">not </t>
    </r>
    <r>
      <rPr>
        <sz val="11"/>
        <color indexed="8"/>
        <rFont val="Tw Cen MT"/>
        <family val="2"/>
      </rPr>
      <t>receive ART or ARVs prophylaxis</t>
    </r>
  </si>
  <si>
    <t>MTCT</t>
  </si>
  <si>
    <t>Mother-to-child transmission</t>
  </si>
  <si>
    <t>Mother on ART: Total cost of drug for women who accessed ANC services</t>
  </si>
  <si>
    <t>Mother on ART: Total cost of drug for children of mothers who accessed ANC services</t>
  </si>
  <si>
    <t>Cost of drugs for mothers who accessed ANC services</t>
  </si>
  <si>
    <t>Cost of drugs for children of mothers who accessed ANC services</t>
  </si>
  <si>
    <t xml:space="preserve">Weight of formula per tin </t>
  </si>
  <si>
    <t>Total cost of formula for children who accessed services</t>
  </si>
  <si>
    <t>Cost of vaginal delivery (including AZT iv) (in USD)</t>
  </si>
  <si>
    <t xml:space="preserve">Cost in the case that not all children switched to 2nd line before the end of pediatric treatment period </t>
  </si>
  <si>
    <t xml:space="preserve">Treatment for Paediatric HIV </t>
  </si>
  <si>
    <t>Drug costs for PMTCT</t>
  </si>
  <si>
    <t xml:space="preserve">unit costs of ARVs </t>
  </si>
  <si>
    <t>Total units with wastage</t>
  </si>
  <si>
    <t>Unit</t>
  </si>
  <si>
    <t>Unit cost ($)</t>
  </si>
  <si>
    <t>Total cost ($)</t>
  </si>
  <si>
    <t>Total cost with discount ($)</t>
  </si>
  <si>
    <t>Notes</t>
  </si>
  <si>
    <t>Tablet</t>
  </si>
  <si>
    <t>Total units (tablet/mL) needed</t>
  </si>
  <si>
    <t>Mother eligible for ART</t>
  </si>
  <si>
    <t>Mother</t>
  </si>
  <si>
    <t>Child</t>
  </si>
  <si>
    <t>AZT 300 mg/3TC 150 mg/NVP 200mg twice daily</t>
  </si>
  <si>
    <t>AZT 300 mg/3TC 150 mg twice daily</t>
  </si>
  <si>
    <t>LPV/r 200/50 mg 2 pastillas twice daily</t>
  </si>
  <si>
    <t>AZT (10mg/mL) 15 mg per dose twice daily (birth weight &gt;2500g) from birth until 6 weeks of age</t>
  </si>
  <si>
    <t>NVP (10mg/mL) 15 mg once daily (birth weight &gt;2500g) from birth until 6 weeks of age</t>
  </si>
  <si>
    <t>Mother not eligible for ART</t>
  </si>
  <si>
    <t>Mother (12 months breastfeeding)</t>
  </si>
  <si>
    <t>Mother (replacement feeding)</t>
  </si>
  <si>
    <t>LPV/r 200/50 mg 2tab twice daily</t>
  </si>
  <si>
    <t>ABC 300 mg twice daily</t>
  </si>
  <si>
    <t>EFV 600 mg once daily</t>
  </si>
  <si>
    <t>TDF 300 mg/3TC 300 mg/EFV 600 mg once daily</t>
  </si>
  <si>
    <t>TDF 300 mg/FTC 200 mg/EFV 600 mg once daily</t>
  </si>
  <si>
    <t>LPV/r 200/50 mg 2 tablets twice daily</t>
  </si>
  <si>
    <t>NVP (10mg/mL) 15 mg once daily from birth until 6 weeks of age</t>
  </si>
  <si>
    <t>AZT (10mg/mL) 15 mg per dose twice daily from birth until 6 weeks of age</t>
  </si>
  <si>
    <t>100 mL bottle</t>
  </si>
  <si>
    <t>200 mL bottle</t>
  </si>
  <si>
    <t>Cost for replacement feeding</t>
  </si>
  <si>
    <t>Feeding</t>
  </si>
  <si>
    <t>Formula needed (g)</t>
  </si>
  <si>
    <t>Cumulative amount of formula (g)</t>
  </si>
  <si>
    <t>Total cost of formula ($)</t>
  </si>
  <si>
    <t>1st week</t>
  </si>
  <si>
    <t>2nd week</t>
  </si>
  <si>
    <t>3rd &amp; 4th week</t>
  </si>
  <si>
    <t>up to 2 months</t>
  </si>
  <si>
    <t>up to 4 months</t>
  </si>
  <si>
    <t>up to 6 months</t>
  </si>
  <si>
    <t>up to 12 months</t>
  </si>
  <si>
    <t>up to 18 months</t>
  </si>
  <si>
    <t>50mL x 7 times per day x 7 days</t>
  </si>
  <si>
    <t>100 mL x 6 times per day x 7 days</t>
  </si>
  <si>
    <t>100 mL x 6 times per day x 14 days</t>
  </si>
  <si>
    <t>150 mL x 5 times per day x 30 days</t>
  </si>
  <si>
    <t>200 mL x 5 times per day x 60 days</t>
  </si>
  <si>
    <t>200 mL x 3 times per day x 180 days</t>
  </si>
  <si>
    <t>AZT 10mg/mL</t>
  </si>
  <si>
    <t>3. PAHO, Regional initiative for elimination of mother-to-child transmission of HIV and congenital syphilis in Latin America and the Caribbean: concept document for the Caribbean. 2010, PAHO HIV Caribbean Office (PHCO): Port of Spain, Trinidad &amp; Tobago.</t>
  </si>
  <si>
    <t>6. WHO, Antiretroviral therapy for HIV infection in infants and children: towards universal access, recommendations for a public health approach 2010 version. 2010, WHO: Geneva, Switzerland.</t>
  </si>
  <si>
    <t>Costing Tool</t>
  </si>
  <si>
    <t>Target Scenario</t>
  </si>
  <si>
    <t>Intermediate Scenario 2</t>
  </si>
  <si>
    <t>Intermediate Scenario 1</t>
  </si>
  <si>
    <t xml:space="preserve">Drug costs for paedriatic HIV </t>
  </si>
  <si>
    <t xml:space="preserve">Cost of treatment per child (up to 15 years) </t>
  </si>
  <si>
    <t>Regimen</t>
  </si>
  <si>
    <t>Drug</t>
  </si>
  <si>
    <t xml:space="preserve">Total units with wastage </t>
  </si>
  <si>
    <t>Total cost of ARVs during 3-6kg per child</t>
  </si>
  <si>
    <t xml:space="preserve">Total units (tab or ml) needed for children 3-6kg (0-4months)
4 months </t>
  </si>
  <si>
    <t xml:space="preserve">Total units  (tab or ml)  needed for children 6-10kg 
(4-12months) 8 months </t>
  </si>
  <si>
    <t>Total cost of ARVs during 6-10kg per child</t>
  </si>
  <si>
    <t>Total units (tab) needed for children 10-14kg (1-3yrs)
24 months</t>
  </si>
  <si>
    <t>Total cost of ARVs during 10-14kg per child</t>
  </si>
  <si>
    <t xml:space="preserve">Total units (tab)  needed for children 14-20kg (3-6yrs)
36 months </t>
  </si>
  <si>
    <t>Total cost of ARVs during 14-20kg per child</t>
  </si>
  <si>
    <t xml:space="preserve">Total units (tab)  needed for children 20-25kg (6-8yrs)
 24months </t>
  </si>
  <si>
    <t>Total cost of ARVs during 20-25kg per child</t>
  </si>
  <si>
    <t xml:space="preserve">Total units (tab) needed for  children &gt;25kg (8-15yrs) 
84 months**  </t>
  </si>
  <si>
    <t>Total cost of ARVs during &gt;25kg per child</t>
  </si>
  <si>
    <t>Total cost of ARVs per child</t>
  </si>
  <si>
    <t>NR = not recommended</t>
  </si>
  <si>
    <t>* NVP/AZT/3TC up to the age of 3, then switch to EFV/AZT/3TC</t>
  </si>
  <si>
    <t>**adult tablet used for AZT/3TC/NVP and AZT/3TC but not for EFV and LPV/r</t>
  </si>
  <si>
    <t xml:space="preserve">Total cost of treatment </t>
  </si>
  <si>
    <t>Access to PMTCT</t>
  </si>
  <si>
    <t>yes</t>
  </si>
  <si>
    <t>Prior exposure to NVP</t>
  </si>
  <si>
    <t>Number of children</t>
  </si>
  <si>
    <t>Total cost of ARVs during 3-6kg</t>
  </si>
  <si>
    <t>Total cost of ARVs during 6-10kg</t>
  </si>
  <si>
    <t>Total cost of ARVs during 10-14kg</t>
  </si>
  <si>
    <t>Total cost of ARVs during 14-20kg</t>
  </si>
  <si>
    <t>Total cost of ARVs during 20-25kg</t>
  </si>
  <si>
    <t>Total cost of ARVs during &gt;25kg</t>
  </si>
  <si>
    <t>Total cost of ARVs</t>
  </si>
  <si>
    <r>
      <t>Strategic plan and framework for elimination initiative</t>
    </r>
    <r>
      <rPr>
        <sz val="11"/>
        <color indexed="8"/>
        <rFont val="Calibri"/>
        <family val="2"/>
      </rPr>
      <t xml:space="preserve">
</t>
    </r>
    <r>
      <rPr>
        <sz val="11"/>
        <color indexed="8"/>
        <rFont val="Tw Cen MT"/>
        <family val="2"/>
      </rPr>
      <t>1. WHO, PMTCT strategic vision 2010-2015: preventing mother-to-child transmission of HIV to reach the UNGASS and Millennium Development Goals - Moving towards the elimination of paediatric HIV. 2009, WHO: Geneva, Switzerland.</t>
    </r>
    <r>
      <rPr>
        <sz val="11"/>
        <color indexed="8"/>
        <rFont val="Calibri"/>
        <family val="2"/>
      </rPr>
      <t xml:space="preserve">
</t>
    </r>
  </si>
  <si>
    <t>2. PAHO, Iniciativa regional para la eliminación de la transmisión maternoinfantil del VIH y de la sífilis congénita en América Latina y el Caribe: documento conceptual. 2009: Washington DC.</t>
  </si>
  <si>
    <r>
      <t>Guidelines</t>
    </r>
    <r>
      <rPr>
        <sz val="11"/>
        <color indexed="8"/>
        <rFont val="Tw Cen MT"/>
        <family val="2"/>
      </rPr>
      <t xml:space="preserve">
4. WHO, Antiretroviral drugs for treating pregnant women and preventing HIV infections in infants: recommendations for a public health approach. 2010, WHO: Geneva, Switzerland.</t>
    </r>
  </si>
  <si>
    <t>5. PAHO, Clinical Guideline for the Elimination of Mother-to-Child Transmission of HIV and Congenital Syphilis in Latin America and the Caribbean. 2011, PAHO: Washington DC</t>
  </si>
  <si>
    <r>
      <t xml:space="preserve">Transmission rates and outcomes
</t>
    </r>
    <r>
      <rPr>
        <sz val="11"/>
        <color indexed="8"/>
        <rFont val="Tw Cen MT"/>
        <family val="2"/>
      </rPr>
      <t>8. De Cock KM, et al., Prevention of mother-to-child HIV transmission in resource-poor countries: translating research into policy and practice. JAMA, 2000. 283(9): p. 1175-82.</t>
    </r>
  </si>
  <si>
    <r>
      <t>16. WHO and UNICEF, Co-trimoxazole prophylaxis for HIV-exposed and HIV-infected infants and children: Practical approa</t>
    </r>
    <r>
      <rPr>
        <i/>
        <sz val="11"/>
        <rFont val="Tw Cen MT"/>
        <family val="2"/>
      </rPr>
      <t>ches to implementation and scale up. 2009, WHO: Geneva, Switzerland.</t>
    </r>
  </si>
  <si>
    <r>
      <t>Prices and costs</t>
    </r>
    <r>
      <rPr>
        <sz val="11"/>
        <rFont val="Tw Cen MT"/>
        <family val="2"/>
      </rPr>
      <t xml:space="preserve">
12. WHO. Global price reporting mechanism. 2010. Available from http://www.who.int/hiv/amds/gprm/en/index.html</t>
    </r>
  </si>
  <si>
    <r>
      <t>13. WHO. Choosing interventions that are cost effective (WHO-CHOICE).  2010. Available from http://www.who.int/c</t>
    </r>
    <r>
      <rPr>
        <sz val="11"/>
        <rFont val="Tw Cen MT"/>
        <family val="2"/>
      </rPr>
      <t>hoice/costs/en/index.html</t>
    </r>
    <r>
      <rPr>
        <sz val="11"/>
        <rFont val="Arial"/>
      </rPr>
      <t xml:space="preserve">
</t>
    </r>
  </si>
  <si>
    <t>15. Stover John, Bollinger Lori, and Avila Carlos. Estimating the effects and costs of changing guidelines for ART eligibility.  2009  9 Nov 2010]; Available from http://www.who.int/hiv/topics/treatment/costing_stover.pdf</t>
  </si>
  <si>
    <r>
      <t>R</t>
    </r>
    <r>
      <rPr>
        <sz val="12"/>
        <color indexed="8"/>
        <rFont val="Tw Cen MT"/>
        <family val="2"/>
      </rPr>
      <t>eferences</t>
    </r>
  </si>
  <si>
    <t xml:space="preserve">Human immunodeficiency virus </t>
  </si>
  <si>
    <r>
      <t>10.</t>
    </r>
    <r>
      <rPr>
        <sz val="12"/>
        <color indexed="8"/>
        <rFont val="Tw Cen MT"/>
        <family val="2"/>
      </rPr>
      <t xml:space="preserve"> </t>
    </r>
    <r>
      <rPr>
        <b/>
        <sz val="12"/>
        <color indexed="8"/>
        <rFont val="Tw Cen MT"/>
        <family val="2"/>
      </rPr>
      <t>Acronyms</t>
    </r>
  </si>
  <si>
    <t xml:space="preserve">Family and Child Health </t>
  </si>
  <si>
    <t>PAHO</t>
  </si>
  <si>
    <t>Pan American Health Organization</t>
  </si>
  <si>
    <t>Nevirapine</t>
  </si>
  <si>
    <t>LAC</t>
  </si>
  <si>
    <t>Latinamerica and the Caribbean</t>
  </si>
  <si>
    <t>Emtricitabine</t>
  </si>
  <si>
    <t>Cotrimoxazole (trimetoprim sulfametoxazol)</t>
  </si>
  <si>
    <t>Azidothymidine (zidovudine)</t>
  </si>
  <si>
    <t>Lamivudine</t>
  </si>
  <si>
    <t xml:space="preserve">Prevention of Mother-to-Child Transmission </t>
  </si>
  <si>
    <t xml:space="preserve">World Health Organization </t>
  </si>
  <si>
    <t>Items</t>
  </si>
  <si>
    <t>Input</t>
  </si>
  <si>
    <t>Antirretroviral Treatment</t>
  </si>
  <si>
    <t>Women with HIV diagnosis who deliver by cesarean section (%)</t>
  </si>
  <si>
    <r>
      <t>This tool</t>
    </r>
    <r>
      <rPr>
        <u/>
        <sz val="11"/>
        <rFont val="Tw Cen MT"/>
        <family val="2"/>
      </rPr>
      <t xml:space="preserve"> will only </t>
    </r>
    <r>
      <rPr>
        <sz val="11"/>
        <rFont val="Tw Cen MT"/>
        <family val="2"/>
      </rPr>
      <t>consider "on treatment" those pregnant women who receive 3 ARV drugs. If the country still uses monotherapy or bitherapy, those cases must be considered as "not treated" and, therefore, should  be subtracted from the percentage of pregnant women covered with ART.</t>
    </r>
  </si>
  <si>
    <t>Cost of benzylpenicillin (150,000 unit) 
Body weight of baby is assumed as 3kg</t>
  </si>
  <si>
    <t>Unit cost of benzylpenicillin/150,000 unit (exposed infants)</t>
  </si>
  <si>
    <t>Unit cost of benzylpenicillin/2.4million unit</t>
  </si>
  <si>
    <t xml:space="preserve">Cost of benzylpenicillin (2.4million unit) </t>
  </si>
  <si>
    <r>
      <t>Coverage of HIV testing among pregnant</t>
    </r>
    <r>
      <rPr>
        <b/>
        <u/>
        <sz val="11"/>
        <rFont val="Tw Cen MT"/>
        <family val="2"/>
      </rPr>
      <t xml:space="preserve"> women who accessed ANC</t>
    </r>
    <r>
      <rPr>
        <sz val="11"/>
        <rFont val="Tw Cen MT"/>
        <family val="2"/>
      </rPr>
      <t xml:space="preserve">  
</t>
    </r>
    <r>
      <rPr>
        <sz val="11"/>
        <color indexed="8"/>
        <rFont val="Tw Cen MT"/>
        <family val="2"/>
      </rPr>
      <t>* for '</t>
    </r>
    <r>
      <rPr>
        <i/>
        <sz val="11"/>
        <color indexed="8"/>
        <rFont val="Tw Cen MT"/>
        <family val="2"/>
      </rPr>
      <t>current scenario without ANC data</t>
    </r>
    <r>
      <rPr>
        <sz val="11"/>
        <color indexed="8"/>
        <rFont val="Tw Cen MT"/>
        <family val="2"/>
      </rPr>
      <t>', enter coverage of HIV testing regardless ANC attendance</t>
    </r>
  </si>
  <si>
    <r>
      <t>Coverage of ARV prophylaxis/ART among HIV positive pregnant women who accessed antenatal care and received HIV test
* for '</t>
    </r>
    <r>
      <rPr>
        <i/>
        <sz val="11"/>
        <rFont val="Tw Cen MT"/>
        <family val="2"/>
      </rPr>
      <t>current scenario without ANC data</t>
    </r>
    <r>
      <rPr>
        <sz val="11"/>
        <rFont val="Tw Cen MT"/>
        <family val="2"/>
      </rPr>
      <t xml:space="preserve">', enter coverage of ARV prophylaxis regardless ANC attendance and HIV testing </t>
    </r>
  </si>
  <si>
    <t>Pregnant women with HIV diagnosis previous to current pregnancy who receive ART (%)</t>
  </si>
  <si>
    <t>ART</t>
  </si>
  <si>
    <t xml:space="preserve">Percentage of pregnant women with HIV diagnosis previous to pregnancy who are receiving ART. It is assumed that these women attended ANC and PMTCT services </t>
  </si>
  <si>
    <t xml:space="preserve">10) Replacement feeding with 14% concentrated formula was recommended for all HIV exposed infants. </t>
  </si>
  <si>
    <t>Breastfeeding among general population (average in months)</t>
  </si>
  <si>
    <t xml:space="preserve">Average duration (in months) of breastfeeding among general population </t>
  </si>
  <si>
    <t>HIV screening at ANC</t>
  </si>
  <si>
    <t>Unit cost of HIV test (screening)</t>
  </si>
  <si>
    <t>Unit cost of HIV test (confirmation)</t>
  </si>
  <si>
    <t>Cost of HIV screening test per case</t>
  </si>
  <si>
    <t>Cost of HIV confirmatory test per case</t>
  </si>
  <si>
    <t>Unit cost of counselling for HIV positive pregnant women</t>
  </si>
  <si>
    <r>
      <t>Cost of post-test counselling per positive case
(*VCT services average $16 per client</t>
    </r>
    <r>
      <rPr>
        <vertAlign val="superscript"/>
        <sz val="11"/>
        <color indexed="8"/>
        <rFont val="Tw Cen MT"/>
        <family val="2"/>
      </rPr>
      <t>15</t>
    </r>
    <r>
      <rPr>
        <sz val="11"/>
        <color indexed="8"/>
        <rFont val="Tw Cen MT"/>
        <family val="2"/>
      </rPr>
      <t>)</t>
    </r>
  </si>
  <si>
    <t>Unit cost of CD4 test</t>
  </si>
  <si>
    <r>
      <t>5) Antiretroviral (ARV) prophylaxis was provided based on the PAHO guidelines ‘</t>
    </r>
    <r>
      <rPr>
        <i/>
        <sz val="11"/>
        <rFont val="Tw Cen MT"/>
        <family val="2"/>
      </rPr>
      <t>Clinical Guideline for the Elimination of Mother-to-Child Transmission of HIV and Congenital Syphilis in Latin America and the Caribbean’.</t>
    </r>
  </si>
  <si>
    <r>
      <t xml:space="preserve">8) </t>
    </r>
    <r>
      <rPr>
        <sz val="11"/>
        <rFont val="Tw Cen MT"/>
        <family val="2"/>
      </rPr>
      <t>Pregnant women gave birth to a baby (birth weight &gt;2500g) at the week 38 by caesarean section or vaginal birth.</t>
    </r>
  </si>
  <si>
    <t>Cost of CD4 test per case</t>
  </si>
  <si>
    <t>Cost of viral load per case</t>
  </si>
  <si>
    <t>ARV prophylaxis for pregnant women and exposed infants</t>
  </si>
  <si>
    <t xml:space="preserve">Unit cost of ARVs </t>
  </si>
  <si>
    <t>7. WHO, Guidelines on co-trimoxazole prophylaxis for HIV-related infections among children, adolescents and adults : recommendations for a public health approach. 2006, WHO: Geneva, Switzerland.</t>
  </si>
  <si>
    <t>9. Mofenson LM, Protecting the next generation--eliminating perinatal HIV-1 infection. New England Journal of Medicine, 2010. 362(24): p. 2316-18.</t>
  </si>
  <si>
    <t>11. WHO, Investment case for eliminating congenital syphilis: promoting better maternal and child health &amp; stronger health systems (unpublished data, DRAFT)   2010.</t>
  </si>
  <si>
    <t>NVP 10mg/mL</t>
  </si>
  <si>
    <t>mL</t>
  </si>
  <si>
    <t>Cost of formula per tin</t>
  </si>
  <si>
    <t>Volume of formula to mix with 50ml of water (in grams)</t>
  </si>
  <si>
    <t>Other costs for PMTCT</t>
  </si>
  <si>
    <t>Cost of co-trimoxazole prophylaxis up to 18 months (per exposed infant)</t>
  </si>
  <si>
    <t>Unit cost of HIV virological test (PCR) for exposed children</t>
  </si>
  <si>
    <t>Unit cost of HIV serological test for exposed children</t>
  </si>
  <si>
    <t>Unit cost of counselling for caregivers of HIV positive children</t>
  </si>
  <si>
    <t>Cost of health service (PMTCT follow up) per visit</t>
  </si>
  <si>
    <t xml:space="preserve">Total number of visits (14weeks of pregnancy till 18 months after birth) </t>
  </si>
  <si>
    <t>Cost of HIV PCR per case</t>
  </si>
  <si>
    <t>Cost of (serological) HIV test per case</t>
  </si>
  <si>
    <r>
      <t>Cost of post-test counselling for caregivers per positive case
(*VCT services average $16 per client</t>
    </r>
    <r>
      <rPr>
        <vertAlign val="superscript"/>
        <sz val="11"/>
        <color indexed="8"/>
        <rFont val="Tw Cen MT"/>
        <family val="2"/>
      </rPr>
      <t>15</t>
    </r>
    <r>
      <rPr>
        <sz val="11"/>
        <color indexed="8"/>
        <rFont val="Tw Cen MT"/>
        <family val="2"/>
      </rPr>
      <t>)</t>
    </r>
  </si>
  <si>
    <r>
      <t>Cost of co-trimoxazole prophylaxis per infant
If data is not available enter $14.2</t>
    </r>
    <r>
      <rPr>
        <vertAlign val="superscript"/>
        <sz val="11"/>
        <color indexed="8"/>
        <rFont val="Tw Cen MT"/>
        <family val="2"/>
      </rPr>
      <t>16</t>
    </r>
    <r>
      <rPr>
        <sz val="11"/>
        <color indexed="8"/>
        <rFont val="Tw Cen MT"/>
        <family val="2"/>
      </rPr>
      <t xml:space="preserve"> per infant  </t>
    </r>
  </si>
  <si>
    <t>Prevention of congenital syphilis</t>
  </si>
  <si>
    <t>Sifilis Prevalence among pregnant women (%)</t>
  </si>
  <si>
    <t xml:space="preserve">Prevalence among pregnant women or, if not available, adult prevalence (15-49) </t>
  </si>
</sst>
</file>

<file path=xl/styles.xml><?xml version="1.0" encoding="utf-8"?>
<styleSheet xmlns="http://schemas.openxmlformats.org/spreadsheetml/2006/main">
  <numFmts count="11">
    <numFmt numFmtId="43" formatCode="_(* #,##0.00_);_(* \(#,##0.00\);_(* &quot;-&quot;??_);_(@_)"/>
    <numFmt numFmtId="164" formatCode="0.00_ "/>
    <numFmt numFmtId="165" formatCode="0_);[Red]\(0\)"/>
    <numFmt numFmtId="166" formatCode="0.00000000_);[Red]\(0.00000000\)"/>
    <numFmt numFmtId="167" formatCode="0_ "/>
    <numFmt numFmtId="168" formatCode="0.0_ "/>
    <numFmt numFmtId="169" formatCode="#,##0.00_ ;[Red]\-#,##0.00\ "/>
    <numFmt numFmtId="170" formatCode="#,##0.0;[Red]\-#,##0.0"/>
    <numFmt numFmtId="171" formatCode="#,##0.0"/>
    <numFmt numFmtId="172" formatCode="0.0_);[Red]\(0.0\)"/>
    <numFmt numFmtId="173" formatCode="_(* #,##0_);_(* \(#,##0\);_(* &quot;-&quot;??_);_(@_)"/>
  </numFmts>
  <fonts count="57">
    <font>
      <sz val="11"/>
      <color theme="1"/>
      <name val="Calibri"/>
      <family val="2"/>
      <charset val="128"/>
      <scheme val="minor"/>
    </font>
    <font>
      <sz val="11"/>
      <color indexed="8"/>
      <name val="Calibri"/>
      <family val="2"/>
    </font>
    <font>
      <sz val="11"/>
      <color indexed="8"/>
      <name val="Arial"/>
      <family val="2"/>
    </font>
    <font>
      <sz val="6"/>
      <name val="Calibri"/>
      <family val="2"/>
      <charset val="128"/>
    </font>
    <font>
      <b/>
      <sz val="11"/>
      <color indexed="8"/>
      <name val="Arial"/>
      <family val="2"/>
    </font>
    <font>
      <sz val="6"/>
      <name val="Calibri"/>
      <family val="2"/>
      <charset val="128"/>
    </font>
    <font>
      <sz val="11"/>
      <color indexed="8"/>
      <name val="Calibri"/>
      <family val="2"/>
      <charset val="128"/>
    </font>
    <font>
      <sz val="11"/>
      <color indexed="8"/>
      <name val="Tw Cen MT"/>
      <family val="2"/>
    </font>
    <font>
      <b/>
      <sz val="16"/>
      <color indexed="23"/>
      <name val="Tw Cen MT"/>
      <family val="2"/>
    </font>
    <font>
      <sz val="8"/>
      <color indexed="8"/>
      <name val="Tw Cen MT"/>
      <family val="2"/>
    </font>
    <font>
      <sz val="14"/>
      <color indexed="8"/>
      <name val="Tw Cen MT"/>
      <family val="2"/>
    </font>
    <font>
      <b/>
      <sz val="11"/>
      <color indexed="8"/>
      <name val="Tw Cen MT"/>
      <family val="2"/>
    </font>
    <font>
      <sz val="11"/>
      <color indexed="63"/>
      <name val="Tw Cen MT"/>
      <family val="2"/>
    </font>
    <font>
      <b/>
      <sz val="12"/>
      <color indexed="8"/>
      <name val="Tw Cen MT"/>
      <family val="2"/>
    </font>
    <font>
      <sz val="12"/>
      <color indexed="8"/>
      <name val="Tw Cen MT"/>
      <family val="2"/>
    </font>
    <font>
      <sz val="12"/>
      <color indexed="8"/>
      <name val="Calibri"/>
      <family val="2"/>
      <charset val="128"/>
    </font>
    <font>
      <i/>
      <sz val="11"/>
      <name val="Tw Cen MT"/>
      <family val="2"/>
    </font>
    <font>
      <sz val="11"/>
      <color indexed="10"/>
      <name val="Tw Cen MT"/>
      <family val="2"/>
    </font>
    <font>
      <b/>
      <i/>
      <sz val="11"/>
      <color indexed="8"/>
      <name val="Tw Cen MT"/>
      <family val="2"/>
    </font>
    <font>
      <b/>
      <sz val="13"/>
      <color indexed="9"/>
      <name val="Tw Cen MT"/>
      <family val="2"/>
    </font>
    <font>
      <sz val="9"/>
      <color indexed="8"/>
      <name val="Tw Cen MT"/>
      <family val="2"/>
    </font>
    <font>
      <sz val="22"/>
      <color indexed="8"/>
      <name val="Tw Cen MT"/>
      <family val="2"/>
    </font>
    <font>
      <i/>
      <sz val="11"/>
      <color indexed="8"/>
      <name val="Tw Cen MT"/>
      <family val="2"/>
    </font>
    <font>
      <vertAlign val="superscript"/>
      <sz val="11"/>
      <color indexed="8"/>
      <name val="Tw Cen MT"/>
      <family val="2"/>
    </font>
    <font>
      <b/>
      <sz val="11"/>
      <name val="Tw Cen MT"/>
      <family val="2"/>
    </font>
    <font>
      <sz val="11"/>
      <name val="Tw Cen MT"/>
      <family val="2"/>
    </font>
    <font>
      <b/>
      <sz val="12"/>
      <name val="Tw Cen MT"/>
      <family val="2"/>
    </font>
    <font>
      <b/>
      <i/>
      <sz val="11"/>
      <name val="Tw Cen MT"/>
      <family val="2"/>
    </font>
    <font>
      <b/>
      <sz val="13"/>
      <name val="Tw Cen MT"/>
      <family val="2"/>
    </font>
    <font>
      <sz val="11"/>
      <color indexed="12"/>
      <name val="Tw Cen MT"/>
      <family val="2"/>
    </font>
    <font>
      <b/>
      <sz val="13"/>
      <color indexed="8"/>
      <name val="Tw Cen MT"/>
      <family val="2"/>
    </font>
    <font>
      <b/>
      <sz val="11"/>
      <color indexed="10"/>
      <name val="Tw Cen MT"/>
      <family val="2"/>
    </font>
    <font>
      <b/>
      <sz val="14"/>
      <color indexed="23"/>
      <name val="Tw Cen MT"/>
      <family val="2"/>
    </font>
    <font>
      <sz val="16"/>
      <name val="Tw Cen MT"/>
      <family val="2"/>
    </font>
    <font>
      <b/>
      <sz val="14"/>
      <color indexed="8"/>
      <name val="Tw Cen MT"/>
      <family val="2"/>
    </font>
    <font>
      <sz val="16"/>
      <color indexed="8"/>
      <name val="Tw Cen MT"/>
      <family val="2"/>
    </font>
    <font>
      <sz val="22"/>
      <name val="Tw Cen MT"/>
      <family val="2"/>
    </font>
    <font>
      <b/>
      <u/>
      <sz val="11"/>
      <name val="Tw Cen MT"/>
      <family val="2"/>
    </font>
    <font>
      <b/>
      <sz val="12"/>
      <color indexed="10"/>
      <name val="Tw Cen MT"/>
      <family val="2"/>
    </font>
    <font>
      <b/>
      <u/>
      <sz val="12"/>
      <color indexed="10"/>
      <name val="Tw Cen MT"/>
      <family val="2"/>
    </font>
    <font>
      <sz val="10"/>
      <color indexed="12"/>
      <name val="Tahoma"/>
      <family val="2"/>
    </font>
    <font>
      <u/>
      <sz val="10"/>
      <color indexed="12"/>
      <name val="Tahoma"/>
      <family val="2"/>
    </font>
    <font>
      <u/>
      <sz val="11"/>
      <name val="Tw Cen MT"/>
      <family val="2"/>
    </font>
    <font>
      <b/>
      <i/>
      <sz val="11"/>
      <color indexed="12"/>
      <name val="Tw Cen MT"/>
      <family val="2"/>
    </font>
    <font>
      <b/>
      <i/>
      <u/>
      <sz val="11"/>
      <color indexed="12"/>
      <name val="Tw Cen MT"/>
      <family val="2"/>
    </font>
    <font>
      <sz val="8"/>
      <name val="Calibri"/>
      <family val="2"/>
      <charset val="128"/>
    </font>
    <font>
      <sz val="11"/>
      <name val="Arial"/>
    </font>
    <font>
      <sz val="11"/>
      <color indexed="63"/>
      <name val="Calibri"/>
      <family val="2"/>
    </font>
    <font>
      <b/>
      <sz val="11"/>
      <color indexed="9"/>
      <name val="Tw Cen MT"/>
      <family val="2"/>
    </font>
    <font>
      <sz val="11"/>
      <color indexed="8"/>
      <name val="Calibri"/>
      <family val="2"/>
      <charset val="128"/>
    </font>
    <font>
      <u/>
      <sz val="11"/>
      <color indexed="8"/>
      <name val="Tw Cen MT"/>
      <family val="2"/>
    </font>
    <font>
      <i/>
      <u/>
      <sz val="11"/>
      <name val="Tw Cen MT"/>
      <family val="2"/>
    </font>
    <font>
      <b/>
      <i/>
      <sz val="12"/>
      <color indexed="8"/>
      <name val="Tw Cen MT"/>
      <family val="2"/>
    </font>
    <font>
      <b/>
      <i/>
      <sz val="12"/>
      <name val="Tw Cen MT"/>
      <family val="2"/>
    </font>
    <font>
      <b/>
      <sz val="12"/>
      <color indexed="12"/>
      <name val="Tw Cen MT"/>
      <family val="2"/>
    </font>
    <font>
      <b/>
      <u/>
      <sz val="12"/>
      <color indexed="8"/>
      <name val="Tw Cen MT"/>
      <family val="2"/>
    </font>
    <font>
      <sz val="12"/>
      <name val="Tw Cen MT"/>
      <family val="2"/>
    </font>
  </fonts>
  <fills count="20">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61"/>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14"/>
        <bgColor indexed="64"/>
      </patternFill>
    </fill>
    <fill>
      <patternFill patternType="solid">
        <fgColor indexed="47"/>
        <bgColor indexed="64"/>
      </patternFill>
    </fill>
    <fill>
      <patternFill patternType="solid">
        <fgColor indexed="54"/>
        <bgColor indexed="64"/>
      </patternFill>
    </fill>
    <fill>
      <patternFill patternType="solid">
        <fgColor indexed="13"/>
        <bgColor indexed="64"/>
      </patternFill>
    </fill>
    <fill>
      <patternFill patternType="solid">
        <fgColor indexed="50"/>
        <bgColor indexed="64"/>
      </patternFill>
    </fill>
    <fill>
      <patternFill patternType="solid">
        <fgColor indexed="46"/>
        <bgColor indexed="64"/>
      </patternFill>
    </fill>
    <fill>
      <patternFill patternType="solid">
        <fgColor indexed="41"/>
        <bgColor indexed="64"/>
      </patternFill>
    </fill>
    <fill>
      <patternFill patternType="solid">
        <fgColor indexed="5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48"/>
      </left>
      <right style="thick">
        <color indexed="48"/>
      </right>
      <top style="thick">
        <color indexed="48"/>
      </top>
      <bottom style="thin">
        <color indexed="48"/>
      </bottom>
      <diagonal/>
    </border>
    <border>
      <left style="thick">
        <color indexed="61"/>
      </left>
      <right style="thick">
        <color indexed="61"/>
      </right>
      <top style="thick">
        <color indexed="61"/>
      </top>
      <bottom style="thin">
        <color indexed="61"/>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43"/>
      </left>
      <right style="thin">
        <color indexed="64"/>
      </right>
      <top style="thin">
        <color indexed="64"/>
      </top>
      <bottom style="thin">
        <color indexed="64"/>
      </bottom>
      <diagonal/>
    </border>
    <border>
      <left style="thin">
        <color indexed="64"/>
      </left>
      <right style="thick">
        <color indexed="43"/>
      </right>
      <top style="thin">
        <color indexed="64"/>
      </top>
      <bottom style="thin">
        <color indexed="64"/>
      </bottom>
      <diagonal/>
    </border>
    <border>
      <left style="thick">
        <color indexed="43"/>
      </left>
      <right style="thin">
        <color indexed="64"/>
      </right>
      <top style="thin">
        <color indexed="64"/>
      </top>
      <bottom style="thick">
        <color indexed="43"/>
      </bottom>
      <diagonal/>
    </border>
    <border>
      <left style="thick">
        <color indexed="43"/>
      </left>
      <right style="thin">
        <color indexed="64"/>
      </right>
      <top style="thin">
        <color indexed="43"/>
      </top>
      <bottom style="thin">
        <color indexed="64"/>
      </bottom>
      <diagonal/>
    </border>
    <border>
      <left style="thin">
        <color indexed="64"/>
      </left>
      <right style="thick">
        <color indexed="43"/>
      </right>
      <top style="thin">
        <color indexed="43"/>
      </top>
      <bottom style="thin">
        <color indexed="64"/>
      </bottom>
      <diagonal/>
    </border>
    <border>
      <left style="thick">
        <color indexed="43"/>
      </left>
      <right/>
      <top style="thick">
        <color indexed="43"/>
      </top>
      <bottom/>
      <diagonal/>
    </border>
    <border>
      <left/>
      <right style="thick">
        <color indexed="43"/>
      </right>
      <top style="thick">
        <color indexed="43"/>
      </top>
      <bottom/>
      <diagonal/>
    </border>
    <border>
      <left style="thick">
        <color indexed="43"/>
      </left>
      <right/>
      <top/>
      <bottom/>
      <diagonal/>
    </border>
    <border>
      <left/>
      <right style="thick">
        <color indexed="43"/>
      </right>
      <top/>
      <bottom/>
      <diagonal/>
    </border>
    <border>
      <left style="thick">
        <color indexed="43"/>
      </left>
      <right/>
      <top/>
      <bottom style="thin">
        <color indexed="64"/>
      </bottom>
      <diagonal/>
    </border>
    <border>
      <left/>
      <right style="thick">
        <color indexed="43"/>
      </right>
      <top/>
      <bottom style="thin">
        <color indexed="64"/>
      </bottom>
      <diagonal/>
    </border>
    <border>
      <left style="thick">
        <color indexed="43"/>
      </left>
      <right style="thin">
        <color indexed="64"/>
      </right>
      <top style="thick">
        <color indexed="43"/>
      </top>
      <bottom style="thin">
        <color indexed="64"/>
      </bottom>
      <diagonal/>
    </border>
    <border>
      <left style="thin">
        <color indexed="64"/>
      </left>
      <right style="thick">
        <color indexed="43"/>
      </right>
      <top style="thick">
        <color indexed="43"/>
      </top>
      <bottom style="thin">
        <color indexed="64"/>
      </bottom>
      <diagonal/>
    </border>
    <border>
      <left style="thick">
        <color indexed="43"/>
      </left>
      <right/>
      <top style="thin">
        <color indexed="64"/>
      </top>
      <bottom/>
      <diagonal/>
    </border>
    <border>
      <left/>
      <right style="thick">
        <color indexed="43"/>
      </right>
      <top style="thin">
        <color indexed="64"/>
      </top>
      <bottom/>
      <diagonal/>
    </border>
    <border>
      <left style="thin">
        <color indexed="64"/>
      </left>
      <right style="thick">
        <color indexed="43"/>
      </right>
      <top style="thin">
        <color indexed="64"/>
      </top>
      <bottom style="thick">
        <color indexed="43"/>
      </bottom>
      <diagonal/>
    </border>
    <border>
      <left style="thick">
        <color indexed="48"/>
      </left>
      <right style="thin">
        <color indexed="64"/>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diagonal/>
    </border>
    <border>
      <left style="thick">
        <color indexed="48"/>
      </left>
      <right style="thin">
        <color indexed="64"/>
      </right>
      <top style="thin">
        <color indexed="64"/>
      </top>
      <bottom style="thick">
        <color indexed="48"/>
      </bottom>
      <diagonal/>
    </border>
    <border>
      <left style="thin">
        <color indexed="64"/>
      </left>
      <right style="thin">
        <color indexed="64"/>
      </right>
      <top style="thin">
        <color indexed="64"/>
      </top>
      <bottom style="thick">
        <color indexed="48"/>
      </bottom>
      <diagonal/>
    </border>
    <border>
      <left style="thin">
        <color indexed="64"/>
      </left>
      <right style="thick">
        <color indexed="48"/>
      </right>
      <top style="thin">
        <color indexed="64"/>
      </top>
      <bottom style="thick">
        <color indexed="48"/>
      </bottom>
      <diagonal/>
    </border>
    <border>
      <left style="thick">
        <color indexed="48"/>
      </left>
      <right style="thin">
        <color indexed="64"/>
      </right>
      <top style="thick">
        <color indexed="48"/>
      </top>
      <bottom style="thin">
        <color indexed="64"/>
      </bottom>
      <diagonal/>
    </border>
    <border>
      <left style="thick">
        <color indexed="48"/>
      </left>
      <right/>
      <top/>
      <bottom/>
      <diagonal/>
    </border>
    <border>
      <left/>
      <right style="thin">
        <color indexed="64"/>
      </right>
      <top style="thin">
        <color indexed="64"/>
      </top>
      <bottom style="thin">
        <color indexed="64"/>
      </bottom>
      <diagonal/>
    </border>
    <border>
      <left style="thick">
        <color indexed="48"/>
      </left>
      <right style="thick">
        <color indexed="48"/>
      </right>
      <top/>
      <bottom/>
      <diagonal/>
    </border>
    <border>
      <left style="thin">
        <color indexed="64"/>
      </left>
      <right style="thick">
        <color indexed="43"/>
      </right>
      <top style="thin">
        <color indexed="64"/>
      </top>
      <bottom/>
      <diagonal/>
    </border>
    <border>
      <left style="thin">
        <color indexed="64"/>
      </left>
      <right style="thick">
        <color indexed="43"/>
      </right>
      <top/>
      <bottom style="thin">
        <color indexed="64"/>
      </bottom>
      <diagonal/>
    </border>
    <border>
      <left style="thin">
        <color indexed="64"/>
      </left>
      <right style="thin">
        <color indexed="64"/>
      </right>
      <top/>
      <bottom/>
      <diagonal/>
    </border>
    <border>
      <left style="thick">
        <color indexed="48"/>
      </left>
      <right style="thick">
        <color indexed="48"/>
      </right>
      <top style="thick">
        <color indexed="48"/>
      </top>
      <bottom/>
      <diagonal/>
    </border>
    <border>
      <left style="thick">
        <color indexed="48"/>
      </left>
      <right style="thick">
        <color indexed="48"/>
      </right>
      <top/>
      <bottom style="thick">
        <color indexed="48"/>
      </bottom>
      <diagonal/>
    </border>
    <border>
      <left style="thin">
        <color indexed="64"/>
      </left>
      <right style="thick">
        <color indexed="48"/>
      </right>
      <top style="thin">
        <color indexed="64"/>
      </top>
      <bottom/>
      <diagonal/>
    </border>
    <border>
      <left style="thin">
        <color indexed="64"/>
      </left>
      <right style="thick">
        <color indexed="48"/>
      </right>
      <top/>
      <bottom style="thin">
        <color indexed="64"/>
      </bottom>
      <diagonal/>
    </border>
    <border>
      <left style="thick">
        <color indexed="43"/>
      </left>
      <right style="thin">
        <color indexed="64"/>
      </right>
      <top/>
      <bottom/>
      <diagonal/>
    </border>
    <border>
      <left style="thin">
        <color indexed="64"/>
      </left>
      <right style="thick">
        <color indexed="43"/>
      </right>
      <top/>
      <bottom/>
      <diagonal/>
    </border>
    <border>
      <left style="thick">
        <color indexed="43"/>
      </left>
      <right style="thin">
        <color indexed="64"/>
      </right>
      <top style="thin">
        <color indexed="64"/>
      </top>
      <bottom/>
      <diagonal/>
    </border>
    <border>
      <left style="thick">
        <color indexed="61"/>
      </left>
      <right style="thick">
        <color indexed="61"/>
      </right>
      <top/>
      <bottom/>
      <diagonal/>
    </border>
    <border>
      <left style="thick">
        <color indexed="61"/>
      </left>
      <right style="thick">
        <color indexed="61"/>
      </right>
      <top/>
      <bottom style="thick">
        <color indexed="61"/>
      </bottom>
      <diagonal/>
    </border>
    <border>
      <left style="thin">
        <color indexed="64"/>
      </left>
      <right style="thick">
        <color indexed="51"/>
      </right>
      <top style="thin">
        <color indexed="64"/>
      </top>
      <bottom style="thin">
        <color indexed="64"/>
      </bottom>
      <diagonal/>
    </border>
    <border>
      <left style="thick">
        <color indexed="43"/>
      </left>
      <right style="thick">
        <color indexed="43"/>
      </right>
      <top/>
      <bottom style="thick">
        <color indexed="43"/>
      </bottom>
      <diagonal/>
    </border>
    <border>
      <left style="thin">
        <color indexed="64"/>
      </left>
      <right style="thin">
        <color indexed="64"/>
      </right>
      <top style="medium">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ck">
        <color indexed="43"/>
      </left>
      <right/>
      <top style="thin">
        <color indexed="64"/>
      </top>
      <bottom style="thin">
        <color indexed="64"/>
      </bottom>
      <diagonal/>
    </border>
    <border>
      <left style="thin">
        <color indexed="64"/>
      </left>
      <right style="thin">
        <color indexed="64"/>
      </right>
      <top style="thin">
        <color indexed="55"/>
      </top>
      <bottom/>
      <diagonal/>
    </border>
    <border>
      <left style="thin">
        <color indexed="64"/>
      </left>
      <right style="thin">
        <color indexed="64"/>
      </right>
      <top style="thick">
        <color indexed="48"/>
      </top>
      <bottom style="thin">
        <color indexed="64"/>
      </bottom>
      <diagonal/>
    </border>
    <border>
      <left style="thin">
        <color indexed="64"/>
      </left>
      <right style="thick">
        <color indexed="48"/>
      </right>
      <top style="thick">
        <color indexed="48"/>
      </top>
      <bottom style="thin">
        <color indexed="64"/>
      </bottom>
      <diagonal/>
    </border>
    <border>
      <left/>
      <right style="thick">
        <color indexed="63"/>
      </right>
      <top style="thick">
        <color indexed="63"/>
      </top>
      <bottom style="thick">
        <color indexed="8"/>
      </bottom>
      <diagonal/>
    </border>
    <border>
      <left style="thick">
        <color indexed="63"/>
      </left>
      <right style="thin">
        <color indexed="64"/>
      </right>
      <top/>
      <bottom style="thick">
        <color indexed="63"/>
      </bottom>
      <diagonal/>
    </border>
    <border>
      <left style="thin">
        <color indexed="64"/>
      </left>
      <right style="thick">
        <color indexed="63"/>
      </right>
      <top/>
      <bottom style="thick">
        <color indexed="63"/>
      </bottom>
      <diagonal/>
    </border>
    <border>
      <left style="thick">
        <color indexed="43"/>
      </left>
      <right/>
      <top style="thick">
        <color indexed="43"/>
      </top>
      <bottom style="thin">
        <color indexed="64"/>
      </bottom>
      <diagonal/>
    </border>
    <border>
      <left/>
      <right style="thick">
        <color indexed="43"/>
      </right>
      <top style="thin">
        <color indexed="64"/>
      </top>
      <bottom style="thin">
        <color indexed="64"/>
      </bottom>
      <diagonal/>
    </border>
    <border>
      <left style="thick">
        <color indexed="63"/>
      </left>
      <right/>
      <top style="thick">
        <color indexed="63"/>
      </top>
      <bottom style="thick">
        <color indexed="8"/>
      </bottom>
      <diagonal/>
    </border>
    <border>
      <left/>
      <right style="thick">
        <color indexed="43"/>
      </right>
      <top style="thick">
        <color indexed="43"/>
      </top>
      <bottom style="thin">
        <color indexed="64"/>
      </bottom>
      <diagonal/>
    </border>
    <border>
      <left style="thick">
        <color indexed="48"/>
      </left>
      <right style="thin">
        <color indexed="64"/>
      </right>
      <top style="thin">
        <color indexed="64"/>
      </top>
      <bottom/>
      <diagonal/>
    </border>
    <border>
      <left style="thick">
        <color indexed="48"/>
      </left>
      <right style="thin">
        <color indexed="64"/>
      </right>
      <top/>
      <bottom style="thin">
        <color indexed="64"/>
      </bottom>
      <diagonal/>
    </border>
    <border>
      <left style="thick">
        <color indexed="48"/>
      </left>
      <right/>
      <top/>
      <bottom style="thin">
        <color indexed="64"/>
      </bottom>
      <diagonal/>
    </border>
    <border>
      <left/>
      <right style="thick">
        <color indexed="4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43" fontId="49" fillId="0" borderId="0" applyFont="0" applyFill="0" applyBorder="0" applyAlignment="0" applyProtection="0"/>
    <xf numFmtId="38" fontId="6" fillId="0" borderId="0" applyFont="0" applyFill="0" applyBorder="0" applyAlignment="0" applyProtection="0">
      <alignment vertical="center"/>
    </xf>
  </cellStyleXfs>
  <cellXfs count="448">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10" fillId="0" borderId="0" xfId="0" applyFont="1">
      <alignment vertical="center"/>
    </xf>
    <xf numFmtId="0" fontId="11" fillId="0" borderId="0" xfId="0" applyFont="1" applyFill="1" applyBorder="1">
      <alignment vertical="center"/>
    </xf>
    <xf numFmtId="0" fontId="7" fillId="2" borderId="1" xfId="0" applyFont="1" applyFill="1" applyBorder="1" applyAlignment="1">
      <alignment vertical="center" wrapText="1"/>
    </xf>
    <xf numFmtId="167" fontId="7" fillId="2" borderId="1" xfId="0" applyNumberFormat="1" applyFont="1" applyFill="1" applyBorder="1">
      <alignment vertical="center"/>
    </xf>
    <xf numFmtId="168" fontId="7" fillId="2" borderId="1" xfId="0" applyNumberFormat="1" applyFont="1" applyFill="1" applyBorder="1">
      <alignment vertical="center"/>
    </xf>
    <xf numFmtId="0" fontId="7" fillId="0" borderId="1" xfId="0" applyFont="1" applyBorder="1" applyAlignment="1">
      <alignment horizontal="left" vertical="center"/>
    </xf>
    <xf numFmtId="0" fontId="12" fillId="0" borderId="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lignmen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3" borderId="1" xfId="0" applyFont="1" applyFill="1" applyBorder="1" applyAlignment="1">
      <alignment horizontal="left" vertical="center"/>
    </xf>
    <xf numFmtId="2" fontId="7" fillId="3" borderId="1" xfId="0" applyNumberFormat="1" applyFont="1" applyFill="1" applyBorder="1">
      <alignment vertical="center"/>
    </xf>
    <xf numFmtId="0" fontId="7" fillId="2" borderId="1" xfId="0" applyFont="1" applyFill="1" applyBorder="1" applyAlignment="1">
      <alignment horizontal="left" vertical="center"/>
    </xf>
    <xf numFmtId="2" fontId="7" fillId="2" borderId="1" xfId="0" applyNumberFormat="1" applyFont="1" applyFill="1" applyBorder="1">
      <alignment vertical="center"/>
    </xf>
    <xf numFmtId="0" fontId="7" fillId="4" borderId="1" xfId="0" applyFont="1" applyFill="1" applyBorder="1" applyAlignment="1">
      <alignment horizontal="left" vertical="center"/>
    </xf>
    <xf numFmtId="2" fontId="7" fillId="4" borderId="1" xfId="0" applyNumberFormat="1" applyFont="1" applyFill="1" applyBorder="1">
      <alignment vertical="center"/>
    </xf>
    <xf numFmtId="0" fontId="7" fillId="0" borderId="0" xfId="0" applyFont="1" applyAlignment="1">
      <alignment vertical="center"/>
    </xf>
    <xf numFmtId="0" fontId="11" fillId="5" borderId="1" xfId="0" applyFont="1" applyFill="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vertical="center"/>
    </xf>
    <xf numFmtId="2" fontId="7" fillId="0" borderId="1" xfId="0" applyNumberFormat="1" applyFont="1" applyBorder="1">
      <alignment vertical="center"/>
    </xf>
    <xf numFmtId="0" fontId="7" fillId="0" borderId="1" xfId="0" applyFont="1" applyBorder="1" applyAlignment="1">
      <alignment horizontal="center" vertical="center" wrapText="1"/>
    </xf>
    <xf numFmtId="40" fontId="7" fillId="0" borderId="1" xfId="0" applyNumberFormat="1" applyFont="1" applyBorder="1">
      <alignment vertical="center"/>
    </xf>
    <xf numFmtId="169" fontId="7" fillId="0" borderId="1" xfId="0" applyNumberFormat="1" applyFont="1" applyBorder="1">
      <alignment vertical="center"/>
    </xf>
    <xf numFmtId="0" fontId="7" fillId="2" borderId="1" xfId="0" applyFont="1" applyFill="1" applyBorder="1" applyAlignment="1">
      <alignment horizontal="center" vertical="center" wrapText="1"/>
    </xf>
    <xf numFmtId="169" fontId="7" fillId="2" borderId="1" xfId="0" applyNumberFormat="1" applyFont="1" applyFill="1" applyBorder="1">
      <alignment vertical="center"/>
    </xf>
    <xf numFmtId="0" fontId="7" fillId="0" borderId="0" xfId="0" applyFont="1" applyFill="1" applyBorder="1" applyAlignment="1">
      <alignment horizontal="center" vertical="center" wrapText="1"/>
    </xf>
    <xf numFmtId="169" fontId="7" fillId="0" borderId="0" xfId="0" applyNumberFormat="1" applyFont="1" applyFill="1" applyBorder="1">
      <alignment vertical="center"/>
    </xf>
    <xf numFmtId="0" fontId="11" fillId="5"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0" xfId="0" applyFont="1" applyFill="1" applyBorder="1" applyAlignment="1">
      <alignment horizontal="center" vertical="center"/>
    </xf>
    <xf numFmtId="2" fontId="7" fillId="0" borderId="0" xfId="0" applyNumberFormat="1" applyFont="1" applyFill="1" applyBorder="1">
      <alignment vertical="center"/>
    </xf>
    <xf numFmtId="0" fontId="14" fillId="0" borderId="0" xfId="0" applyFont="1">
      <alignment vertical="center"/>
    </xf>
    <xf numFmtId="0" fontId="13"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4" fillId="0" borderId="0" xfId="0" applyFont="1" applyFill="1" applyBorder="1" applyAlignment="1">
      <alignment vertical="center" wrapText="1"/>
    </xf>
    <xf numFmtId="0" fontId="15" fillId="0" borderId="0" xfId="0" applyFont="1" applyBorder="1" applyAlignment="1">
      <alignment vertical="center"/>
    </xf>
    <xf numFmtId="0" fontId="14" fillId="0" borderId="0" xfId="0" applyFont="1" applyFill="1" applyBorder="1">
      <alignment vertical="center"/>
    </xf>
    <xf numFmtId="0" fontId="14" fillId="0" borderId="0" xfId="0" applyFont="1" applyFill="1" applyBorder="1" applyAlignment="1">
      <alignment vertical="top" wrapText="1"/>
    </xf>
    <xf numFmtId="0" fontId="7" fillId="0" borderId="0" xfId="0" applyFont="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wrapText="1"/>
    </xf>
    <xf numFmtId="0" fontId="19" fillId="6" borderId="3" xfId="0" applyFont="1" applyFill="1" applyBorder="1" applyAlignment="1">
      <alignment vertical="center" wrapText="1"/>
    </xf>
    <xf numFmtId="0" fontId="19" fillId="7" borderId="4" xfId="0" applyFont="1" applyFill="1" applyBorder="1" applyAlignment="1">
      <alignment vertical="center" wrapText="1"/>
    </xf>
    <xf numFmtId="0" fontId="20" fillId="0" borderId="0" xfId="0" applyFont="1">
      <alignment vertical="center"/>
    </xf>
    <xf numFmtId="0" fontId="21" fillId="0" borderId="0" xfId="0" applyFont="1" applyAlignment="1">
      <alignment vertical="center"/>
    </xf>
    <xf numFmtId="0" fontId="7" fillId="0" borderId="0" xfId="0" applyFont="1" applyAlignment="1">
      <alignment vertical="top" wrapText="1"/>
    </xf>
    <xf numFmtId="0" fontId="7" fillId="0" borderId="0" xfId="0" applyFont="1" applyProtection="1">
      <alignment vertical="center"/>
    </xf>
    <xf numFmtId="0" fontId="7" fillId="0" borderId="0" xfId="0" applyFont="1" applyFill="1" applyProtection="1">
      <alignment vertical="center"/>
    </xf>
    <xf numFmtId="38" fontId="7" fillId="0" borderId="0" xfId="0" applyNumberFormat="1" applyFont="1" applyProtection="1">
      <alignment vertical="center"/>
    </xf>
    <xf numFmtId="38" fontId="7" fillId="0" borderId="0" xfId="0" applyNumberFormat="1" applyFont="1" applyFill="1" applyProtection="1">
      <alignment vertical="center"/>
    </xf>
    <xf numFmtId="164" fontId="7" fillId="0" borderId="0" xfId="0" applyNumberFormat="1" applyFont="1" applyFill="1" applyBorder="1" applyProtection="1">
      <alignment vertical="center"/>
    </xf>
    <xf numFmtId="165" fontId="7" fillId="0" borderId="0" xfId="0" applyNumberFormat="1" applyFont="1" applyProtection="1">
      <alignment vertical="center"/>
    </xf>
    <xf numFmtId="165" fontId="7" fillId="0" borderId="0" xfId="0" applyNumberFormat="1" applyFont="1" applyFill="1" applyProtection="1">
      <alignment vertical="center"/>
    </xf>
    <xf numFmtId="164" fontId="7" fillId="0" borderId="1" xfId="0" applyNumberFormat="1" applyFont="1" applyFill="1" applyBorder="1" applyProtection="1">
      <alignment vertical="center"/>
    </xf>
    <xf numFmtId="164" fontId="7" fillId="0" borderId="1" xfId="0" applyNumberFormat="1" applyFont="1" applyFill="1" applyBorder="1" applyAlignment="1" applyProtection="1">
      <alignment vertical="center" wrapText="1"/>
    </xf>
    <xf numFmtId="0" fontId="7" fillId="0" borderId="0" xfId="0" applyFont="1" applyFill="1" applyBorder="1" applyProtection="1">
      <alignment vertical="center"/>
    </xf>
    <xf numFmtId="167" fontId="7" fillId="0" borderId="1" xfId="0" applyNumberFormat="1" applyFont="1" applyFill="1" applyBorder="1" applyProtection="1">
      <alignment vertical="center"/>
    </xf>
    <xf numFmtId="168" fontId="7" fillId="0" borderId="1" xfId="0" applyNumberFormat="1" applyFont="1" applyFill="1" applyBorder="1" applyProtection="1">
      <alignment vertical="center"/>
    </xf>
    <xf numFmtId="40" fontId="7" fillId="0" borderId="1" xfId="2" applyNumberFormat="1" applyFont="1" applyFill="1" applyBorder="1" applyProtection="1">
      <alignment vertical="center"/>
    </xf>
    <xf numFmtId="0" fontId="7" fillId="0" borderId="0" xfId="0" applyFont="1" applyAlignment="1" applyProtection="1">
      <alignment vertical="center" wrapText="1"/>
    </xf>
    <xf numFmtId="164" fontId="7" fillId="0" borderId="0" xfId="0" applyNumberFormat="1" applyFont="1" applyAlignment="1" applyProtection="1">
      <alignment vertical="center" wrapText="1"/>
    </xf>
    <xf numFmtId="164" fontId="7" fillId="0" borderId="0" xfId="0" applyNumberFormat="1" applyFont="1" applyProtection="1">
      <alignment vertical="center"/>
    </xf>
    <xf numFmtId="0" fontId="7" fillId="0" borderId="0" xfId="0" applyFont="1" applyFill="1">
      <alignment vertical="center"/>
    </xf>
    <xf numFmtId="38" fontId="7" fillId="8" borderId="1" xfId="0" applyNumberFormat="1" applyFont="1" applyFill="1" applyBorder="1" applyProtection="1">
      <alignment vertical="center"/>
      <protection locked="0"/>
    </xf>
    <xf numFmtId="38" fontId="7" fillId="0" borderId="0" xfId="0" applyNumberFormat="1" applyFont="1">
      <alignment vertical="center"/>
    </xf>
    <xf numFmtId="38" fontId="7" fillId="0" borderId="0" xfId="0" applyNumberFormat="1" applyFont="1" applyFill="1">
      <alignment vertical="center"/>
    </xf>
    <xf numFmtId="0" fontId="7" fillId="8" borderId="1" xfId="0" applyFont="1" applyFill="1" applyBorder="1" applyAlignment="1">
      <alignment vertical="center" wrapText="1"/>
    </xf>
    <xf numFmtId="164" fontId="7" fillId="8" borderId="1" xfId="0" applyNumberFormat="1" applyFont="1" applyFill="1" applyBorder="1" applyProtection="1">
      <alignment vertical="center"/>
      <protection locked="0"/>
    </xf>
    <xf numFmtId="164" fontId="7" fillId="0" borderId="0" xfId="0" applyNumberFormat="1" applyFont="1" applyFill="1" applyBorder="1">
      <alignment vertical="center"/>
    </xf>
    <xf numFmtId="168" fontId="7" fillId="8" borderId="1" xfId="0" applyNumberFormat="1" applyFont="1" applyFill="1" applyBorder="1" applyProtection="1">
      <alignment vertical="center"/>
      <protection locked="0"/>
    </xf>
    <xf numFmtId="0" fontId="7" fillId="0" borderId="1" xfId="0" applyFont="1" applyFill="1" applyBorder="1" applyAlignment="1" applyProtection="1">
      <alignmen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0" xfId="0" applyNumberFormat="1" applyFont="1" applyAlignment="1">
      <alignment vertical="center" wrapText="1"/>
    </xf>
    <xf numFmtId="166" fontId="7" fillId="0" borderId="0" xfId="0" applyNumberFormat="1" applyFont="1" applyAlignment="1">
      <alignment vertical="center" wrapText="1"/>
    </xf>
    <xf numFmtId="165" fontId="7" fillId="0" borderId="0" xfId="0" applyNumberFormat="1" applyFont="1" applyFill="1" applyAlignment="1">
      <alignment vertical="center" wrapText="1"/>
    </xf>
    <xf numFmtId="165" fontId="7" fillId="0" borderId="0" xfId="0" applyNumberFormat="1" applyFont="1">
      <alignment vertical="center"/>
    </xf>
    <xf numFmtId="165" fontId="7" fillId="0" borderId="0" xfId="0" applyNumberFormat="1" applyFont="1" applyFill="1">
      <alignment vertical="center"/>
    </xf>
    <xf numFmtId="165" fontId="7" fillId="5" borderId="0" xfId="0" applyNumberFormat="1" applyFont="1" applyFill="1" applyBorder="1">
      <alignment vertical="center"/>
    </xf>
    <xf numFmtId="40" fontId="7" fillId="0" borderId="1" xfId="2" applyNumberFormat="1" applyFont="1" applyFill="1" applyBorder="1">
      <alignment vertical="center"/>
    </xf>
    <xf numFmtId="0" fontId="7" fillId="0" borderId="0" xfId="0" applyFont="1" applyBorder="1">
      <alignment vertical="center"/>
    </xf>
    <xf numFmtId="0" fontId="7" fillId="0" borderId="5" xfId="0" applyFont="1" applyFill="1" applyBorder="1" applyAlignment="1">
      <alignment vertical="center" wrapText="1"/>
    </xf>
    <xf numFmtId="164" fontId="7" fillId="0" borderId="5" xfId="0" applyNumberFormat="1" applyFont="1" applyFill="1" applyBorder="1">
      <alignment vertical="center"/>
    </xf>
    <xf numFmtId="0" fontId="11" fillId="0" borderId="0" xfId="0" applyFont="1" applyFill="1" applyBorder="1" applyAlignment="1">
      <alignment horizontal="left" vertical="center" wrapText="1"/>
    </xf>
    <xf numFmtId="0" fontId="7" fillId="8" borderId="1" xfId="0" applyFont="1" applyFill="1" applyBorder="1" applyAlignment="1" applyProtection="1">
      <alignment horizontal="right" vertical="center" wrapText="1"/>
      <protection locked="0"/>
    </xf>
    <xf numFmtId="0" fontId="7" fillId="8"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7" fillId="5" borderId="1" xfId="0" applyFont="1" applyFill="1" applyBorder="1" applyAlignment="1">
      <alignment vertical="center" wrapText="1"/>
    </xf>
    <xf numFmtId="40" fontId="7" fillId="5" borderId="1" xfId="2" applyNumberFormat="1" applyFont="1" applyFill="1" applyBorder="1">
      <alignment vertical="center"/>
    </xf>
    <xf numFmtId="0" fontId="7" fillId="0" borderId="0" xfId="0" applyFont="1" applyFill="1" applyBorder="1">
      <alignment vertical="center"/>
    </xf>
    <xf numFmtId="164" fontId="7" fillId="0" borderId="6" xfId="0" applyNumberFormat="1" applyFont="1" applyFill="1" applyBorder="1">
      <alignment vertical="center"/>
    </xf>
    <xf numFmtId="164" fontId="7" fillId="0" borderId="1" xfId="0" applyNumberFormat="1" applyFont="1" applyFill="1" applyBorder="1">
      <alignment vertical="center"/>
    </xf>
    <xf numFmtId="0" fontId="11" fillId="0" borderId="0" xfId="0" applyFont="1" applyFill="1" applyBorder="1" applyAlignment="1">
      <alignment vertical="center" wrapText="1"/>
    </xf>
    <xf numFmtId="167" fontId="7" fillId="8" borderId="7" xfId="0" applyNumberFormat="1" applyFont="1" applyFill="1" applyBorder="1" applyProtection="1">
      <alignment vertical="center"/>
      <protection locked="0"/>
    </xf>
    <xf numFmtId="164" fontId="7" fillId="0" borderId="8" xfId="0" applyNumberFormat="1" applyFont="1" applyFill="1" applyBorder="1">
      <alignment vertical="center"/>
    </xf>
    <xf numFmtId="0" fontId="7" fillId="0" borderId="9" xfId="0" applyFont="1" applyFill="1" applyBorder="1" applyAlignment="1">
      <alignment vertical="center" wrapText="1"/>
    </xf>
    <xf numFmtId="164" fontId="7" fillId="0" borderId="9" xfId="0" applyNumberFormat="1" applyFont="1" applyFill="1" applyBorder="1">
      <alignment vertical="center"/>
    </xf>
    <xf numFmtId="167" fontId="7" fillId="8" borderId="1" xfId="0" applyNumberFormat="1" applyFont="1" applyFill="1" applyBorder="1" applyProtection="1">
      <alignment vertical="center"/>
      <protection locked="0"/>
    </xf>
    <xf numFmtId="0" fontId="7" fillId="0" borderId="0" xfId="0" applyFont="1" applyFill="1" applyBorder="1" applyAlignment="1">
      <alignment vertical="center" wrapText="1"/>
    </xf>
    <xf numFmtId="0" fontId="11" fillId="0" borderId="6" xfId="0" applyFont="1" applyFill="1" applyBorder="1" applyAlignment="1">
      <alignment vertical="center" wrapText="1"/>
    </xf>
    <xf numFmtId="165" fontId="7" fillId="8" borderId="1" xfId="0" applyNumberFormat="1" applyFont="1" applyFill="1" applyBorder="1" applyAlignment="1">
      <alignment vertical="center" wrapText="1"/>
    </xf>
    <xf numFmtId="165" fontId="7" fillId="8" borderId="1" xfId="0" applyNumberFormat="1" applyFont="1" applyFill="1" applyBorder="1" applyProtection="1">
      <alignment vertical="center"/>
      <protection locked="0"/>
    </xf>
    <xf numFmtId="40" fontId="7" fillId="0" borderId="5" xfId="2" applyNumberFormat="1" applyFont="1" applyFill="1" applyBorder="1">
      <alignment vertical="center"/>
    </xf>
    <xf numFmtId="0" fontId="11" fillId="5" borderId="1" xfId="0" applyFont="1" applyFill="1" applyBorder="1" applyAlignment="1">
      <alignment vertical="center" wrapText="1"/>
    </xf>
    <xf numFmtId="0" fontId="11" fillId="0" borderId="5" xfId="0" applyFont="1" applyFill="1" applyBorder="1" applyAlignment="1">
      <alignment vertical="center" wrapText="1"/>
    </xf>
    <xf numFmtId="0" fontId="11" fillId="5" borderId="0" xfId="0" applyFont="1" applyFill="1" applyBorder="1" applyAlignment="1">
      <alignment vertical="center" wrapText="1"/>
    </xf>
    <xf numFmtId="164" fontId="7" fillId="5" borderId="0" xfId="0" applyNumberFormat="1" applyFont="1" applyFill="1" applyBorder="1">
      <alignment vertical="center"/>
    </xf>
    <xf numFmtId="170" fontId="7" fillId="8" borderId="1" xfId="2" applyNumberFormat="1" applyFont="1" applyFill="1" applyBorder="1" applyProtection="1">
      <alignment vertical="center"/>
      <protection locked="0"/>
    </xf>
    <xf numFmtId="40" fontId="7" fillId="8" borderId="1" xfId="2" applyNumberFormat="1" applyFont="1" applyFill="1" applyBorder="1" applyProtection="1">
      <alignment vertical="center"/>
      <protection locked="0"/>
    </xf>
    <xf numFmtId="0" fontId="24" fillId="5" borderId="1" xfId="0" applyFont="1" applyFill="1" applyBorder="1" applyAlignment="1">
      <alignment vertical="center" wrapText="1"/>
    </xf>
    <xf numFmtId="40" fontId="25" fillId="5" borderId="1" xfId="2" applyNumberFormat="1" applyFont="1" applyFill="1" applyBorder="1" applyProtection="1">
      <alignment vertical="center"/>
    </xf>
    <xf numFmtId="0" fontId="24" fillId="0" borderId="5" xfId="0" applyFont="1" applyFill="1" applyBorder="1" applyAlignment="1">
      <alignment vertical="center" wrapText="1"/>
    </xf>
    <xf numFmtId="164" fontId="25" fillId="0" borderId="5" xfId="0" applyNumberFormat="1" applyFont="1" applyFill="1" applyBorder="1">
      <alignment vertical="center"/>
    </xf>
    <xf numFmtId="0" fontId="24" fillId="0" borderId="0" xfId="0" applyFont="1" applyFill="1" applyBorder="1" applyAlignment="1">
      <alignment vertical="center" wrapText="1"/>
    </xf>
    <xf numFmtId="164" fontId="25" fillId="0" borderId="0" xfId="0" applyNumberFormat="1" applyFont="1" applyFill="1" applyBorder="1">
      <alignment vertical="center"/>
    </xf>
    <xf numFmtId="0" fontId="24" fillId="5" borderId="0" xfId="0" applyFont="1" applyFill="1" applyBorder="1" applyAlignment="1">
      <alignment vertical="center" wrapText="1"/>
    </xf>
    <xf numFmtId="164" fontId="25" fillId="5" borderId="0" xfId="0" applyNumberFormat="1" applyFont="1" applyFill="1" applyBorder="1">
      <alignment vertical="center"/>
    </xf>
    <xf numFmtId="167" fontId="25" fillId="0" borderId="0" xfId="0" applyNumberFormat="1" applyFont="1" applyFill="1" applyBorder="1">
      <alignment vertical="center"/>
    </xf>
    <xf numFmtId="0" fontId="27" fillId="0" borderId="6" xfId="0" applyFont="1" applyFill="1" applyBorder="1" applyAlignment="1">
      <alignment vertical="center" wrapText="1"/>
    </xf>
    <xf numFmtId="164" fontId="25" fillId="0" borderId="6" xfId="0" applyNumberFormat="1" applyFont="1" applyFill="1" applyBorder="1">
      <alignment vertical="center"/>
    </xf>
    <xf numFmtId="0" fontId="18" fillId="0" borderId="0" xfId="0" applyFont="1" applyFill="1" applyBorder="1" applyAlignment="1">
      <alignment vertical="center" wrapText="1"/>
    </xf>
    <xf numFmtId="0" fontId="7" fillId="0"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40" fontId="7" fillId="5" borderId="1" xfId="2" applyNumberFormat="1" applyFont="1" applyFill="1" applyBorder="1" applyAlignment="1">
      <alignment horizontal="right" vertical="center" wrapText="1"/>
    </xf>
    <xf numFmtId="2" fontId="7" fillId="0" borderId="0" xfId="0" applyNumberFormat="1" applyFont="1" applyFill="1" applyBorder="1" applyAlignment="1">
      <alignment horizontal="right" vertical="center" wrapText="1"/>
    </xf>
    <xf numFmtId="2" fontId="7"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7" fillId="9" borderId="1" xfId="0" applyFont="1" applyFill="1" applyBorder="1" applyAlignment="1">
      <alignment vertical="center" wrapText="1"/>
    </xf>
    <xf numFmtId="40" fontId="7" fillId="9" borderId="1" xfId="2" applyNumberFormat="1" applyFont="1" applyFill="1" applyBorder="1">
      <alignment vertical="center"/>
    </xf>
    <xf numFmtId="0" fontId="18" fillId="0" borderId="6" xfId="0" applyFont="1" applyFill="1" applyBorder="1" applyAlignment="1">
      <alignment vertical="center" wrapText="1"/>
    </xf>
    <xf numFmtId="40" fontId="7" fillId="0" borderId="9" xfId="2" applyNumberFormat="1" applyFont="1" applyFill="1" applyBorder="1">
      <alignment vertical="center"/>
    </xf>
    <xf numFmtId="165" fontId="7" fillId="5" borderId="1" xfId="0" applyNumberFormat="1" applyFont="1" applyFill="1" applyBorder="1" applyAlignment="1">
      <alignment vertical="center" wrapText="1"/>
    </xf>
    <xf numFmtId="165" fontId="7" fillId="5" borderId="1" xfId="0" applyNumberFormat="1" applyFont="1" applyFill="1" applyBorder="1">
      <alignment vertical="center"/>
    </xf>
    <xf numFmtId="164" fontId="7" fillId="0" borderId="0" xfId="0" applyNumberFormat="1" applyFont="1">
      <alignment vertical="center"/>
    </xf>
    <xf numFmtId="0" fontId="7" fillId="5" borderId="2" xfId="0" applyFont="1" applyFill="1" applyBorder="1" applyAlignment="1">
      <alignment vertical="center" wrapText="1"/>
    </xf>
    <xf numFmtId="40" fontId="7" fillId="5" borderId="2" xfId="2" applyNumberFormat="1" applyFont="1" applyFill="1" applyBorder="1">
      <alignment vertical="center"/>
    </xf>
    <xf numFmtId="167" fontId="7" fillId="2" borderId="10" xfId="0" applyNumberFormat="1" applyFont="1" applyFill="1" applyBorder="1">
      <alignment vertical="center"/>
    </xf>
    <xf numFmtId="0" fontId="7" fillId="2" borderId="2" xfId="0" applyFont="1" applyFill="1" applyBorder="1" applyAlignment="1">
      <alignment vertical="center" wrapText="1"/>
    </xf>
    <xf numFmtId="40" fontId="7" fillId="2" borderId="2" xfId="2" applyNumberFormat="1" applyFont="1" applyFill="1" applyBorder="1">
      <alignment vertical="center"/>
    </xf>
    <xf numFmtId="167" fontId="7" fillId="4" borderId="10" xfId="0" applyNumberFormat="1" applyFont="1" applyFill="1" applyBorder="1">
      <alignment vertical="center"/>
    </xf>
    <xf numFmtId="164" fontId="7" fillId="0" borderId="0" xfId="0" applyNumberFormat="1" applyFont="1" applyAlignment="1">
      <alignment vertical="center" wrapText="1"/>
    </xf>
    <xf numFmtId="165" fontId="7" fillId="0" borderId="0" xfId="0" applyNumberFormat="1" applyFont="1" applyBorder="1">
      <alignment vertical="center"/>
    </xf>
    <xf numFmtId="38" fontId="7" fillId="10" borderId="11" xfId="0" applyNumberFormat="1" applyFont="1" applyFill="1" applyBorder="1" applyAlignment="1" applyProtection="1">
      <alignment vertical="center" wrapText="1"/>
    </xf>
    <xf numFmtId="49" fontId="7" fillId="0" borderId="12" xfId="0" applyNumberFormat="1" applyFont="1" applyFill="1" applyBorder="1" applyAlignment="1" applyProtection="1">
      <alignment horizontal="left" vertical="center" wrapText="1"/>
    </xf>
    <xf numFmtId="0" fontId="7" fillId="10" borderId="11" xfId="0" applyFont="1" applyFill="1" applyBorder="1" applyAlignment="1" applyProtection="1">
      <alignment vertical="center" wrapText="1"/>
    </xf>
    <xf numFmtId="49" fontId="7" fillId="0" borderId="12" xfId="0" applyNumberFormat="1" applyFont="1" applyFill="1" applyBorder="1" applyAlignment="1" applyProtection="1">
      <alignment vertical="center" wrapText="1"/>
    </xf>
    <xf numFmtId="0" fontId="7" fillId="10" borderId="13" xfId="0" applyFont="1" applyFill="1" applyBorder="1" applyAlignment="1" applyProtection="1">
      <alignment vertical="center" wrapText="1"/>
    </xf>
    <xf numFmtId="0" fontId="7" fillId="10" borderId="14" xfId="0" applyNumberFormat="1" applyFont="1" applyFill="1" applyBorder="1" applyAlignment="1" applyProtection="1">
      <alignment horizontal="left" vertical="center" wrapText="1"/>
    </xf>
    <xf numFmtId="0" fontId="7" fillId="0" borderId="15" xfId="0" applyNumberFormat="1" applyFont="1" applyFill="1" applyBorder="1" applyAlignment="1" applyProtection="1">
      <alignment horizontal="left" vertical="center" wrapText="1"/>
    </xf>
    <xf numFmtId="0" fontId="28" fillId="5" borderId="16" xfId="0" applyFont="1" applyFill="1" applyBorder="1" applyAlignment="1">
      <alignment vertical="center" wrapText="1"/>
    </xf>
    <xf numFmtId="0" fontId="28" fillId="5" borderId="17" xfId="0" applyFont="1" applyFill="1" applyBorder="1" applyAlignment="1">
      <alignment vertical="center" wrapText="1"/>
    </xf>
    <xf numFmtId="164" fontId="7" fillId="0" borderId="12" xfId="0" applyNumberFormat="1" applyFont="1" applyFill="1" applyBorder="1" applyProtection="1">
      <alignment vertical="center"/>
    </xf>
    <xf numFmtId="164" fontId="7" fillId="0" borderId="12" xfId="0" applyNumberFormat="1" applyFont="1" applyFill="1" applyBorder="1" applyAlignment="1" applyProtection="1">
      <alignment vertical="center" wrapText="1"/>
    </xf>
    <xf numFmtId="0" fontId="7" fillId="10" borderId="11" xfId="0" applyFont="1" applyFill="1" applyBorder="1" applyAlignment="1" applyProtection="1">
      <alignment horizontal="left" vertical="center" wrapText="1"/>
    </xf>
    <xf numFmtId="0" fontId="11" fillId="0" borderId="18" xfId="0" applyFont="1" applyFill="1" applyBorder="1" applyAlignment="1" applyProtection="1">
      <alignment wrapText="1"/>
    </xf>
    <xf numFmtId="164" fontId="7" fillId="0" borderId="19" xfId="0" applyNumberFormat="1" applyFont="1" applyFill="1" applyBorder="1" applyProtection="1">
      <alignment vertical="center"/>
    </xf>
    <xf numFmtId="167" fontId="7" fillId="0" borderId="12" xfId="0" applyNumberFormat="1" applyFont="1" applyFill="1" applyBorder="1" applyProtection="1">
      <alignment vertical="center"/>
    </xf>
    <xf numFmtId="168" fontId="7" fillId="0" borderId="12" xfId="0" applyNumberFormat="1" applyFont="1" applyFill="1" applyBorder="1" applyProtection="1">
      <alignment vertical="center"/>
    </xf>
    <xf numFmtId="0" fontId="11" fillId="0" borderId="20" xfId="0" applyFont="1" applyFill="1" applyBorder="1" applyAlignment="1" applyProtection="1">
      <alignment wrapText="1"/>
    </xf>
    <xf numFmtId="164" fontId="7" fillId="0" borderId="21" xfId="0" applyNumberFormat="1" applyFont="1" applyFill="1" applyBorder="1" applyProtection="1">
      <alignment vertical="center"/>
    </xf>
    <xf numFmtId="165" fontId="7" fillId="10" borderId="13" xfId="0" applyNumberFormat="1" applyFont="1" applyFill="1" applyBorder="1" applyAlignment="1" applyProtection="1">
      <alignment vertical="center" wrapText="1"/>
    </xf>
    <xf numFmtId="0" fontId="30" fillId="5" borderId="16" xfId="0" applyFont="1" applyFill="1" applyBorder="1" applyAlignment="1" applyProtection="1">
      <alignment vertical="center" wrapText="1"/>
    </xf>
    <xf numFmtId="164" fontId="7" fillId="5" borderId="17" xfId="0" applyNumberFormat="1" applyFont="1" applyFill="1" applyBorder="1" applyProtection="1">
      <alignment vertical="center"/>
    </xf>
    <xf numFmtId="0" fontId="11" fillId="0" borderId="0" xfId="0" applyFont="1" applyFill="1" applyBorder="1" applyAlignment="1" applyProtection="1">
      <alignment vertical="center" wrapText="1"/>
    </xf>
    <xf numFmtId="0" fontId="7" fillId="10" borderId="22" xfId="0" applyFont="1" applyFill="1" applyBorder="1" applyAlignment="1" applyProtection="1">
      <alignment vertical="center" wrapText="1"/>
    </xf>
    <xf numFmtId="49" fontId="7" fillId="0" borderId="23" xfId="0" applyNumberFormat="1" applyFont="1" applyFill="1" applyBorder="1" applyAlignment="1" applyProtection="1">
      <alignment vertical="center" wrapText="1"/>
    </xf>
    <xf numFmtId="40" fontId="7" fillId="0" borderId="12" xfId="2" applyNumberFormat="1" applyFont="1" applyFill="1" applyBorder="1" applyProtection="1">
      <alignment vertical="center"/>
    </xf>
    <xf numFmtId="0" fontId="7" fillId="0" borderId="24" xfId="0" applyFont="1" applyFill="1" applyBorder="1" applyAlignment="1" applyProtection="1">
      <alignment vertical="center" wrapText="1"/>
    </xf>
    <xf numFmtId="164" fontId="7" fillId="0" borderId="25" xfId="0" applyNumberFormat="1" applyFont="1" applyFill="1" applyBorder="1" applyProtection="1">
      <alignment vertical="center"/>
    </xf>
    <xf numFmtId="164" fontId="25" fillId="5" borderId="19" xfId="0" applyNumberFormat="1" applyFont="1" applyFill="1" applyBorder="1" applyProtection="1">
      <alignment vertical="center"/>
    </xf>
    <xf numFmtId="0" fontId="16" fillId="0" borderId="18" xfId="0" applyFont="1" applyFill="1" applyBorder="1" applyAlignment="1" applyProtection="1">
      <alignment vertical="center" wrapText="1"/>
    </xf>
    <xf numFmtId="164" fontId="25" fillId="0" borderId="19" xfId="0" applyNumberFormat="1" applyFont="1" applyFill="1" applyBorder="1" applyProtection="1">
      <alignment vertical="center"/>
    </xf>
    <xf numFmtId="0" fontId="24" fillId="0" borderId="18" xfId="0" applyFont="1" applyFill="1" applyBorder="1" applyAlignment="1" applyProtection="1">
      <alignment vertical="center" wrapText="1"/>
    </xf>
    <xf numFmtId="0" fontId="7" fillId="0" borderId="18" xfId="0" applyFont="1" applyFill="1" applyBorder="1" applyAlignment="1" applyProtection="1">
      <alignment horizontal="left" vertical="center" wrapText="1"/>
    </xf>
    <xf numFmtId="2" fontId="7" fillId="0" borderId="19" xfId="0" applyNumberFormat="1" applyFont="1" applyFill="1" applyBorder="1" applyAlignment="1" applyProtection="1">
      <alignment horizontal="righ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165" fontId="7" fillId="10" borderId="11" xfId="0" applyNumberFormat="1" applyFont="1" applyFill="1" applyBorder="1" applyAlignment="1" applyProtection="1">
      <alignment vertical="center" wrapText="1"/>
    </xf>
    <xf numFmtId="165" fontId="7" fillId="0" borderId="12" xfId="0" applyNumberFormat="1" applyFont="1" applyFill="1" applyBorder="1" applyAlignment="1" applyProtection="1">
      <alignment vertical="center" wrapText="1"/>
    </xf>
    <xf numFmtId="164" fontId="7" fillId="0" borderId="26" xfId="0" applyNumberFormat="1" applyFont="1" applyFill="1" applyBorder="1" applyAlignment="1" applyProtection="1">
      <alignment vertical="center" wrapText="1"/>
    </xf>
    <xf numFmtId="0" fontId="28" fillId="5" borderId="18" xfId="0" applyFont="1" applyFill="1" applyBorder="1" applyAlignment="1" applyProtection="1">
      <alignment vertical="center" wrapText="1"/>
    </xf>
    <xf numFmtId="0" fontId="7" fillId="2" borderId="1" xfId="0" applyFont="1" applyFill="1" applyBorder="1" applyAlignment="1">
      <alignment horizontal="right" vertical="center" wrapText="1"/>
    </xf>
    <xf numFmtId="0" fontId="7" fillId="0" borderId="0" xfId="0" applyFont="1" applyAlignment="1">
      <alignment horizontal="left" vertical="center"/>
    </xf>
    <xf numFmtId="0" fontId="7" fillId="2" borderId="1" xfId="0" applyFont="1" applyFill="1" applyBorder="1" applyAlignment="1">
      <alignment horizontal="left" vertical="center" wrapText="1"/>
    </xf>
    <xf numFmtId="0" fontId="7" fillId="4" borderId="1" xfId="0" applyFont="1" applyFill="1" applyBorder="1" applyAlignment="1">
      <alignment horizontal="center" vertical="center"/>
    </xf>
    <xf numFmtId="0" fontId="11" fillId="0" borderId="0" xfId="0" applyFont="1" applyAlignment="1" applyProtection="1">
      <alignment vertical="center" wrapText="1"/>
    </xf>
    <xf numFmtId="38" fontId="7" fillId="8" borderId="27" xfId="0" applyNumberFormat="1" applyFont="1" applyFill="1" applyBorder="1" applyAlignment="1">
      <alignment vertical="center" wrapText="1"/>
    </xf>
    <xf numFmtId="38" fontId="7" fillId="8" borderId="28" xfId="0" applyNumberFormat="1" applyFont="1" applyFill="1" applyBorder="1" applyProtection="1">
      <alignment vertical="center"/>
      <protection locked="0"/>
    </xf>
    <xf numFmtId="0" fontId="7" fillId="8" borderId="27" xfId="0" applyFont="1" applyFill="1" applyBorder="1" applyAlignment="1">
      <alignment vertical="center" wrapText="1"/>
    </xf>
    <xf numFmtId="164" fontId="7" fillId="8" borderId="28" xfId="0" applyNumberFormat="1" applyFont="1" applyFill="1" applyBorder="1" applyProtection="1">
      <alignment vertical="center"/>
      <protection locked="0"/>
    </xf>
    <xf numFmtId="168" fontId="7" fillId="9" borderId="28" xfId="0" applyNumberFormat="1" applyFont="1" applyFill="1" applyBorder="1" applyAlignment="1" applyProtection="1">
      <alignment horizontal="right" vertical="center"/>
    </xf>
    <xf numFmtId="168" fontId="7" fillId="8" borderId="28" xfId="0" applyNumberFormat="1" applyFont="1" applyFill="1" applyBorder="1" applyProtection="1">
      <alignment vertical="center"/>
      <protection locked="0"/>
    </xf>
    <xf numFmtId="0" fontId="7" fillId="0" borderId="27" xfId="0" applyFont="1" applyFill="1" applyBorder="1" applyAlignment="1" applyProtection="1">
      <alignment vertical="center" wrapText="1"/>
    </xf>
    <xf numFmtId="168" fontId="7" fillId="0" borderId="28" xfId="0" applyNumberFormat="1" applyFont="1" applyFill="1" applyBorder="1" applyProtection="1">
      <alignment vertical="center"/>
    </xf>
    <xf numFmtId="165" fontId="7" fillId="0" borderId="27" xfId="0" applyNumberFormat="1" applyFont="1" applyFill="1" applyBorder="1" applyAlignment="1">
      <alignment vertical="center" wrapText="1"/>
    </xf>
    <xf numFmtId="165" fontId="7" fillId="5" borderId="29" xfId="0" applyNumberFormat="1" applyFont="1" applyFill="1" applyBorder="1">
      <alignment vertical="center"/>
    </xf>
    <xf numFmtId="0" fontId="7" fillId="8" borderId="27" xfId="0" applyFont="1" applyFill="1" applyBorder="1" applyAlignment="1" applyProtection="1">
      <alignment vertical="center" wrapText="1"/>
    </xf>
    <xf numFmtId="0" fontId="7" fillId="0" borderId="27" xfId="0" applyFont="1" applyFill="1" applyBorder="1" applyAlignment="1">
      <alignment vertical="center" wrapText="1"/>
    </xf>
    <xf numFmtId="0" fontId="7" fillId="0" borderId="30" xfId="0" applyFont="1" applyFill="1" applyBorder="1" applyAlignment="1">
      <alignment vertical="center" wrapText="1"/>
    </xf>
    <xf numFmtId="40" fontId="11" fillId="0" borderId="1" xfId="2" applyNumberFormat="1" applyFont="1" applyFill="1" applyBorder="1">
      <alignment vertical="center"/>
    </xf>
    <xf numFmtId="40" fontId="11" fillId="0" borderId="28" xfId="2" applyNumberFormat="1" applyFont="1" applyFill="1" applyBorder="1">
      <alignment vertical="center"/>
    </xf>
    <xf numFmtId="40" fontId="11" fillId="0" borderId="31" xfId="2" applyNumberFormat="1" applyFont="1" applyFill="1" applyBorder="1">
      <alignment vertical="center"/>
    </xf>
    <xf numFmtId="40" fontId="11" fillId="0" borderId="32" xfId="2" applyNumberFormat="1" applyFont="1" applyFill="1" applyBorder="1">
      <alignment vertical="center"/>
    </xf>
    <xf numFmtId="167" fontId="11" fillId="0" borderId="1" xfId="0" applyNumberFormat="1" applyFont="1" applyFill="1" applyBorder="1" applyProtection="1">
      <alignment vertical="center"/>
    </xf>
    <xf numFmtId="167" fontId="11" fillId="0" borderId="28" xfId="0" applyNumberFormat="1" applyFont="1" applyFill="1" applyBorder="1" applyProtection="1">
      <alignment vertical="center"/>
    </xf>
    <xf numFmtId="0" fontId="11" fillId="0" borderId="0" xfId="0" applyFont="1" applyFill="1" applyBorder="1" applyAlignment="1">
      <alignment horizontal="center" vertical="center"/>
    </xf>
    <xf numFmtId="0" fontId="31" fillId="0" borderId="0" xfId="0" applyFont="1">
      <alignment vertical="center"/>
    </xf>
    <xf numFmtId="0" fontId="7" fillId="0" borderId="0" xfId="0" applyFont="1" applyFill="1" applyAlignment="1">
      <alignment horizontal="center" vertical="center"/>
    </xf>
    <xf numFmtId="0" fontId="7" fillId="0" borderId="1" xfId="0" applyFont="1" applyBorder="1" applyAlignment="1">
      <alignment horizontal="right" vertical="center"/>
    </xf>
    <xf numFmtId="0" fontId="7" fillId="3" borderId="1" xfId="0" applyFont="1" applyFill="1" applyBorder="1" applyAlignment="1">
      <alignment horizontal="center" vertical="center"/>
    </xf>
    <xf numFmtId="2" fontId="7" fillId="0" borderId="1" xfId="0" applyNumberFormat="1" applyFont="1" applyFill="1" applyBorder="1">
      <alignment vertical="center"/>
    </xf>
    <xf numFmtId="165" fontId="11" fillId="0" borderId="1" xfId="0" applyNumberFormat="1" applyFont="1" applyFill="1" applyBorder="1">
      <alignment vertical="center"/>
    </xf>
    <xf numFmtId="165" fontId="11" fillId="0" borderId="1" xfId="0" applyNumberFormat="1" applyFont="1" applyFill="1" applyBorder="1" applyAlignment="1">
      <alignment horizontal="right" vertical="center" wrapText="1"/>
    </xf>
    <xf numFmtId="40" fontId="11" fillId="0" borderId="1" xfId="2" applyNumberFormat="1" applyFont="1" applyFill="1" applyBorder="1" applyAlignment="1">
      <alignment horizontal="right" vertical="center" wrapText="1"/>
    </xf>
    <xf numFmtId="1" fontId="11" fillId="0" borderId="1" xfId="0" applyNumberFormat="1" applyFont="1" applyFill="1" applyBorder="1" applyAlignment="1">
      <alignment horizontal="right" vertical="center" wrapText="1"/>
    </xf>
    <xf numFmtId="164" fontId="24" fillId="0" borderId="1" xfId="0" applyNumberFormat="1" applyFont="1" applyFill="1" applyBorder="1" applyProtection="1">
      <alignment vertical="center"/>
    </xf>
    <xf numFmtId="0" fontId="32" fillId="0" borderId="0" xfId="0" applyFont="1" applyAlignment="1">
      <alignment horizontal="center" wrapText="1"/>
    </xf>
    <xf numFmtId="0" fontId="35" fillId="5" borderId="33" xfId="0" applyFont="1" applyFill="1" applyBorder="1" applyAlignment="1">
      <alignment horizontal="center" vertical="center" wrapText="1"/>
    </xf>
    <xf numFmtId="165" fontId="34" fillId="5" borderId="34" xfId="0" applyNumberFormat="1" applyFont="1" applyFill="1" applyBorder="1" applyAlignment="1">
      <alignment vertical="center" wrapText="1"/>
    </xf>
    <xf numFmtId="0" fontId="7" fillId="0" borderId="1" xfId="0" applyFont="1" applyFill="1" applyBorder="1" applyAlignment="1" applyProtection="1">
      <alignment vertical="distributed" wrapText="1"/>
    </xf>
    <xf numFmtId="0" fontId="31" fillId="5" borderId="1" xfId="0" applyFont="1" applyFill="1" applyBorder="1" applyAlignment="1">
      <alignment vertical="center" wrapText="1"/>
    </xf>
    <xf numFmtId="40" fontId="31" fillId="5" borderId="1" xfId="2" applyNumberFormat="1" applyFont="1" applyFill="1" applyBorder="1">
      <alignment vertical="center"/>
    </xf>
    <xf numFmtId="0" fontId="25" fillId="2" borderId="10" xfId="0" applyFont="1" applyFill="1" applyBorder="1" applyAlignment="1">
      <alignment vertical="center" wrapText="1"/>
    </xf>
    <xf numFmtId="38" fontId="7" fillId="0" borderId="1" xfId="2" applyNumberFormat="1" applyFont="1" applyBorder="1">
      <alignment vertical="center"/>
    </xf>
    <xf numFmtId="171" fontId="7" fillId="0" borderId="1" xfId="0" applyNumberFormat="1" applyFont="1" applyBorder="1">
      <alignment vertical="center"/>
    </xf>
    <xf numFmtId="4" fontId="7" fillId="0" borderId="0" xfId="0" applyNumberFormat="1" applyFont="1">
      <alignment vertical="center"/>
    </xf>
    <xf numFmtId="4" fontId="25" fillId="0" borderId="0" xfId="0" applyNumberFormat="1" applyFont="1" applyFill="1" applyBorder="1" applyAlignment="1">
      <alignment horizontal="left" vertical="center" wrapText="1"/>
    </xf>
    <xf numFmtId="4" fontId="11" fillId="0" borderId="0" xfId="0" applyNumberFormat="1" applyFont="1" applyFill="1" applyBorder="1" applyAlignment="1">
      <alignment horizontal="center" vertical="center" wrapText="1"/>
    </xf>
    <xf numFmtId="4" fontId="7" fillId="2" borderId="1" xfId="0" applyNumberFormat="1" applyFont="1" applyFill="1" applyBorder="1" applyAlignment="1">
      <alignment vertical="center" wrapText="1"/>
    </xf>
    <xf numFmtId="4" fontId="7" fillId="2" borderId="1" xfId="0" applyNumberFormat="1" applyFont="1" applyFill="1" applyBorder="1" applyAlignment="1">
      <alignment horizontal="right" vertical="center" wrapText="1"/>
    </xf>
    <xf numFmtId="4" fontId="7" fillId="0" borderId="0" xfId="0" applyNumberFormat="1" applyFont="1" applyAlignment="1">
      <alignment horizontal="left" vertical="center"/>
    </xf>
    <xf numFmtId="4" fontId="7" fillId="2" borderId="1" xfId="0" applyNumberFormat="1" applyFont="1" applyFill="1" applyBorder="1" applyAlignment="1">
      <alignment horizontal="left" vertical="center" wrapText="1"/>
    </xf>
    <xf numFmtId="4" fontId="7" fillId="0" borderId="0" xfId="0" applyNumberFormat="1" applyFont="1" applyFill="1" applyBorder="1" applyAlignment="1">
      <alignment horizontal="left" vertical="center" wrapText="1"/>
    </xf>
    <xf numFmtId="4" fontId="7" fillId="0" borderId="0" xfId="0" applyNumberFormat="1" applyFont="1" applyFill="1" applyBorder="1" applyAlignment="1">
      <alignment horizontal="right" vertical="center" wrapText="1"/>
    </xf>
    <xf numFmtId="4" fontId="7" fillId="0" borderId="0" xfId="0" applyNumberFormat="1" applyFont="1" applyAlignment="1">
      <alignment horizontal="center" vertical="center"/>
    </xf>
    <xf numFmtId="4"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wrapText="1"/>
    </xf>
    <xf numFmtId="4" fontId="7" fillId="5" borderId="1" xfId="0" applyNumberFormat="1" applyFont="1" applyFill="1" applyBorder="1" applyAlignment="1">
      <alignment horizontal="center" vertical="center" wrapText="1"/>
    </xf>
    <xf numFmtId="4" fontId="7" fillId="5" borderId="1" xfId="0" applyNumberFormat="1" applyFont="1" applyFill="1" applyBorder="1" applyAlignment="1">
      <alignment horizontal="center" vertical="center"/>
    </xf>
    <xf numFmtId="4" fontId="7" fillId="3" borderId="35" xfId="0" applyNumberFormat="1" applyFont="1" applyFill="1" applyBorder="1" applyAlignment="1">
      <alignment horizontal="center" vertical="center" wrapText="1"/>
    </xf>
    <xf numFmtId="4" fontId="7" fillId="0" borderId="35" xfId="0" applyNumberFormat="1" applyFont="1" applyBorder="1">
      <alignment vertical="center"/>
    </xf>
    <xf numFmtId="4" fontId="7" fillId="10" borderId="1" xfId="0" applyNumberFormat="1" applyFont="1" applyFill="1" applyBorder="1">
      <alignment vertical="center"/>
    </xf>
    <xf numFmtId="4" fontId="7" fillId="0" borderId="1" xfId="0" applyNumberFormat="1" applyFont="1" applyBorder="1">
      <alignment vertical="center"/>
    </xf>
    <xf numFmtId="4" fontId="7" fillId="2" borderId="1" xfId="0" applyNumberFormat="1" applyFont="1" applyFill="1" applyBorder="1" applyAlignment="1">
      <alignment horizontal="center" vertical="center"/>
    </xf>
    <xf numFmtId="4" fontId="7" fillId="0" borderId="1" xfId="0" applyNumberFormat="1" applyFont="1" applyBorder="1" applyAlignment="1">
      <alignment horizontal="right" vertical="center"/>
    </xf>
    <xf numFmtId="4" fontId="7" fillId="2" borderId="1"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xf>
    <xf numFmtId="0" fontId="13" fillId="11" borderId="36" xfId="0" applyFont="1" applyFill="1" applyBorder="1" applyAlignment="1">
      <alignment vertical="center" wrapText="1"/>
    </xf>
    <xf numFmtId="38" fontId="25" fillId="0" borderId="0" xfId="0" applyNumberFormat="1" applyFont="1" applyProtection="1">
      <alignment vertical="center"/>
    </xf>
    <xf numFmtId="0" fontId="25" fillId="10" borderId="11" xfId="0" applyFont="1" applyFill="1" applyBorder="1" applyAlignment="1" applyProtection="1">
      <alignment vertical="center" wrapText="1"/>
    </xf>
    <xf numFmtId="164" fontId="25" fillId="0" borderId="12" xfId="0" applyNumberFormat="1" applyFont="1" applyFill="1" applyBorder="1" applyAlignment="1" applyProtection="1">
      <alignment vertical="center" wrapText="1"/>
    </xf>
    <xf numFmtId="165" fontId="25" fillId="0" borderId="26" xfId="0" applyNumberFormat="1" applyFont="1" applyFill="1" applyBorder="1" applyAlignment="1" applyProtection="1">
      <alignment vertical="center" wrapText="1"/>
    </xf>
    <xf numFmtId="167" fontId="7" fillId="0" borderId="1" xfId="0" applyNumberFormat="1" applyFont="1" applyFill="1" applyBorder="1" applyAlignment="1" applyProtection="1">
      <alignment vertical="center" wrapText="1"/>
    </xf>
    <xf numFmtId="0" fontId="25" fillId="8" borderId="1" xfId="0" applyFont="1" applyFill="1" applyBorder="1" applyAlignment="1">
      <alignment vertical="center" wrapText="1"/>
    </xf>
    <xf numFmtId="0" fontId="25" fillId="0" borderId="1" xfId="0" applyFont="1" applyFill="1" applyBorder="1" applyAlignment="1" applyProtection="1">
      <alignment vertical="center" wrapText="1"/>
    </xf>
    <xf numFmtId="0" fontId="25" fillId="4" borderId="10" xfId="0" applyFont="1" applyFill="1" applyBorder="1" applyAlignment="1">
      <alignment vertical="center" wrapText="1"/>
    </xf>
    <xf numFmtId="4" fontId="25" fillId="0" borderId="1" xfId="0" applyNumberFormat="1" applyFont="1" applyBorder="1" applyAlignment="1">
      <alignment horizontal="center" vertical="center" wrapText="1"/>
    </xf>
    <xf numFmtId="4" fontId="25" fillId="10" borderId="1" xfId="0" applyNumberFormat="1" applyFont="1" applyFill="1" applyBorder="1" applyAlignment="1">
      <alignment horizontal="center" vertical="center" wrapText="1"/>
    </xf>
    <xf numFmtId="4" fontId="7" fillId="0" borderId="1" xfId="2" applyNumberFormat="1" applyFont="1" applyBorder="1">
      <alignment vertical="center"/>
    </xf>
    <xf numFmtId="4" fontId="7" fillId="2" borderId="1" xfId="0" applyNumberFormat="1" applyFont="1" applyFill="1" applyBorder="1">
      <alignment vertical="center"/>
    </xf>
    <xf numFmtId="0" fontId="20" fillId="0" borderId="0" xfId="0" applyFont="1" applyAlignment="1">
      <alignment horizontal="center" vertical="center" wrapText="1"/>
    </xf>
    <xf numFmtId="0" fontId="25" fillId="0" borderId="37" xfId="0" applyFont="1" applyFill="1" applyBorder="1" applyAlignment="1" applyProtection="1">
      <alignment horizontal="left" vertical="center" wrapText="1"/>
    </xf>
    <xf numFmtId="0" fontId="25" fillId="0" borderId="38" xfId="0" applyFont="1" applyFill="1" applyBorder="1" applyAlignment="1" applyProtection="1">
      <alignment horizontal="left" vertical="center" wrapText="1"/>
    </xf>
    <xf numFmtId="40" fontId="25" fillId="0" borderId="12" xfId="2" applyNumberFormat="1" applyFont="1" applyFill="1" applyBorder="1" applyProtection="1">
      <alignment vertical="center"/>
    </xf>
    <xf numFmtId="4" fontId="7" fillId="10" borderId="1" xfId="0" applyNumberFormat="1" applyFont="1" applyFill="1" applyBorder="1" applyAlignment="1">
      <alignment horizontal="center" vertical="center" wrapText="1"/>
    </xf>
    <xf numFmtId="4" fontId="7" fillId="10" borderId="1" xfId="0" applyNumberFormat="1" applyFont="1" applyFill="1" applyBorder="1" applyAlignment="1">
      <alignment horizontal="center" vertical="center"/>
    </xf>
    <xf numFmtId="0" fontId="22" fillId="0" borderId="20" xfId="0" applyFont="1" applyFill="1" applyBorder="1" applyAlignment="1" applyProtection="1">
      <alignment vertical="center" wrapText="1"/>
    </xf>
    <xf numFmtId="0" fontId="7" fillId="0" borderId="21" xfId="0" applyFont="1" applyFill="1" applyBorder="1" applyAlignment="1" applyProtection="1">
      <alignment vertical="center" wrapText="1"/>
    </xf>
    <xf numFmtId="0" fontId="7" fillId="9" borderId="12" xfId="0" applyNumberFormat="1" applyFont="1" applyFill="1" applyBorder="1" applyAlignment="1" applyProtection="1">
      <alignment vertical="center" wrapText="1"/>
    </xf>
    <xf numFmtId="165" fontId="2" fillId="0" borderId="1" xfId="0" applyNumberFormat="1" applyFont="1" applyFill="1" applyBorder="1" applyAlignment="1">
      <alignment horizontal="right" vertical="center" wrapText="1"/>
    </xf>
    <xf numFmtId="0" fontId="7" fillId="5" borderId="2" xfId="0" applyFont="1" applyFill="1" applyBorder="1" applyAlignment="1">
      <alignment horizontal="center" vertical="center" wrapText="1"/>
    </xf>
    <xf numFmtId="0" fontId="7" fillId="5" borderId="10" xfId="0" applyFont="1" applyFill="1" applyBorder="1" applyAlignment="1">
      <alignment horizontal="center" vertical="center" wrapText="1"/>
    </xf>
    <xf numFmtId="168" fontId="7" fillId="9" borderId="1" xfId="0" applyNumberFormat="1" applyFont="1" applyFill="1" applyBorder="1" applyProtection="1">
      <alignment vertical="center"/>
      <protection locked="0"/>
    </xf>
    <xf numFmtId="0" fontId="25" fillId="0" borderId="0" xfId="0" applyFont="1" applyAlignment="1">
      <alignment vertical="top" wrapText="1"/>
    </xf>
    <xf numFmtId="0" fontId="43" fillId="0" borderId="0" xfId="0" applyFont="1" applyFill="1" applyBorder="1" applyAlignment="1">
      <alignment horizontal="left" vertical="center" wrapText="1"/>
    </xf>
    <xf numFmtId="0" fontId="43" fillId="0" borderId="6" xfId="0" applyFont="1" applyFill="1" applyBorder="1" applyAlignment="1">
      <alignment vertical="center" wrapText="1"/>
    </xf>
    <xf numFmtId="4" fontId="24" fillId="0" borderId="1" xfId="0" applyNumberFormat="1" applyFont="1" applyFill="1" applyBorder="1" applyProtection="1">
      <alignment vertical="center"/>
    </xf>
    <xf numFmtId="4" fontId="11" fillId="0" borderId="1" xfId="0" applyNumberFormat="1" applyFont="1" applyFill="1" applyBorder="1" applyProtection="1">
      <alignment vertical="center"/>
    </xf>
    <xf numFmtId="0" fontId="7" fillId="5" borderId="1" xfId="0" applyFont="1" applyFill="1" applyBorder="1" applyAlignment="1">
      <alignment horizontal="center" vertical="center" wrapText="1"/>
    </xf>
    <xf numFmtId="0" fontId="7" fillId="9" borderId="1" xfId="0" applyFont="1" applyFill="1" applyBorder="1" applyAlignment="1">
      <alignment horizontal="left" vertical="center" wrapText="1"/>
    </xf>
    <xf numFmtId="0" fontId="7" fillId="10"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0" fillId="9" borderId="0" xfId="0" applyFill="1">
      <alignment vertical="center"/>
    </xf>
    <xf numFmtId="0" fontId="7" fillId="3" borderId="39" xfId="0" applyFont="1" applyFill="1" applyBorder="1" applyAlignment="1">
      <alignment vertical="top" wrapText="1"/>
    </xf>
    <xf numFmtId="0" fontId="11" fillId="3" borderId="39" xfId="0" applyFont="1" applyFill="1" applyBorder="1" applyAlignment="1">
      <alignment vertical="top" wrapText="1"/>
    </xf>
    <xf numFmtId="0" fontId="7" fillId="3" borderId="10" xfId="0" applyFont="1" applyFill="1" applyBorder="1" applyAlignment="1">
      <alignment vertical="top" wrapText="1"/>
    </xf>
    <xf numFmtId="0" fontId="11" fillId="3" borderId="2" xfId="0" applyFont="1" applyFill="1" applyBorder="1" applyAlignment="1">
      <alignment vertical="top" wrapText="1"/>
    </xf>
    <xf numFmtId="164" fontId="25" fillId="9" borderId="12" xfId="0" applyNumberFormat="1" applyFont="1" applyFill="1" applyBorder="1" applyAlignment="1" applyProtection="1">
      <alignment vertical="center" wrapText="1"/>
    </xf>
    <xf numFmtId="0" fontId="13" fillId="10" borderId="40" xfId="0" applyFont="1" applyFill="1" applyBorder="1" applyAlignment="1">
      <alignment vertical="center" wrapText="1"/>
    </xf>
    <xf numFmtId="0" fontId="13" fillId="12" borderId="36" xfId="0" applyFont="1" applyFill="1" applyBorder="1" applyAlignment="1">
      <alignment vertical="center" wrapText="1"/>
    </xf>
    <xf numFmtId="0" fontId="13" fillId="13" borderId="36" xfId="0" applyFont="1" applyFill="1" applyBorder="1" applyAlignment="1">
      <alignment vertical="center" wrapText="1"/>
    </xf>
    <xf numFmtId="0" fontId="13" fillId="3" borderId="36" xfId="0" applyFont="1" applyFill="1" applyBorder="1" applyAlignment="1">
      <alignment vertical="center" wrapText="1"/>
    </xf>
    <xf numFmtId="0" fontId="13" fillId="14" borderId="36" xfId="0" applyFont="1" applyFill="1" applyBorder="1" applyAlignment="1">
      <alignment vertical="center" wrapText="1"/>
    </xf>
    <xf numFmtId="0" fontId="13" fillId="4" borderId="36" xfId="0" applyFont="1" applyFill="1" applyBorder="1" applyAlignment="1">
      <alignment vertical="center" wrapText="1"/>
    </xf>
    <xf numFmtId="0" fontId="13" fillId="15" borderId="36" xfId="0" applyFont="1" applyFill="1" applyBorder="1" applyAlignment="1">
      <alignment vertical="center" wrapText="1"/>
    </xf>
    <xf numFmtId="0" fontId="13" fillId="16" borderId="36" xfId="0" applyFont="1" applyFill="1" applyBorder="1" applyAlignment="1">
      <alignment vertical="center"/>
    </xf>
    <xf numFmtId="0" fontId="13" fillId="17" borderId="41" xfId="0" applyFont="1" applyFill="1" applyBorder="1" applyAlignment="1">
      <alignment vertical="center"/>
    </xf>
    <xf numFmtId="0" fontId="13" fillId="9" borderId="0" xfId="0" applyFont="1" applyFill="1" applyBorder="1" applyAlignment="1">
      <alignment vertical="center"/>
    </xf>
    <xf numFmtId="164" fontId="7" fillId="9" borderId="12" xfId="0" applyNumberFormat="1" applyFont="1" applyFill="1" applyBorder="1" applyAlignment="1" applyProtection="1">
      <alignment vertical="center" wrapText="1"/>
    </xf>
    <xf numFmtId="0" fontId="25" fillId="0" borderId="37" xfId="0" applyNumberFormat="1" applyFont="1" applyFill="1" applyBorder="1" applyAlignment="1" applyProtection="1">
      <alignment vertical="center" wrapText="1"/>
    </xf>
    <xf numFmtId="38" fontId="7" fillId="0" borderId="0" xfId="0" applyNumberFormat="1" applyFont="1" applyAlignment="1">
      <alignment horizontal="center" vertical="center"/>
    </xf>
    <xf numFmtId="172" fontId="11" fillId="0" borderId="1" xfId="0" applyNumberFormat="1" applyFont="1" applyBorder="1" applyAlignment="1">
      <alignment horizontal="right" vertical="center"/>
    </xf>
    <xf numFmtId="165" fontId="11" fillId="0" borderId="1" xfId="0" applyNumberFormat="1" applyFont="1" applyFill="1" applyBorder="1" applyAlignment="1">
      <alignment vertical="center" wrapText="1"/>
    </xf>
    <xf numFmtId="165" fontId="48" fillId="0" borderId="2" xfId="0" applyNumberFormat="1" applyFont="1" applyFill="1" applyBorder="1" applyAlignment="1">
      <alignment vertical="center" wrapText="1"/>
    </xf>
    <xf numFmtId="165" fontId="11" fillId="0" borderId="10" xfId="0" applyNumberFormat="1" applyFont="1" applyFill="1" applyBorder="1" applyAlignment="1">
      <alignment vertical="center" wrapText="1"/>
    </xf>
    <xf numFmtId="165" fontId="11" fillId="0" borderId="1" xfId="0" applyNumberFormat="1" applyFont="1" applyFill="1" applyBorder="1" applyAlignment="1">
      <alignment horizontal="right" vertical="center"/>
    </xf>
    <xf numFmtId="40" fontId="7" fillId="0" borderId="0" xfId="2" applyNumberFormat="1" applyFont="1" applyFill="1" applyBorder="1">
      <alignment vertical="center"/>
    </xf>
    <xf numFmtId="40" fontId="7" fillId="0" borderId="6" xfId="2" applyNumberFormat="1" applyFont="1" applyFill="1" applyBorder="1">
      <alignment vertical="center"/>
    </xf>
    <xf numFmtId="0" fontId="4" fillId="0" borderId="0" xfId="0" applyFont="1" applyFill="1" applyBorder="1" applyAlignment="1">
      <alignment vertical="center" wrapText="1"/>
    </xf>
    <xf numFmtId="40" fontId="2" fillId="0" borderId="0" xfId="2" applyNumberFormat="1" applyFont="1" applyFill="1" applyBorder="1">
      <alignment vertical="center"/>
    </xf>
    <xf numFmtId="165" fontId="7" fillId="0" borderId="34" xfId="0" applyNumberFormat="1" applyFont="1" applyFill="1" applyBorder="1" applyAlignment="1">
      <alignment vertical="center" wrapText="1"/>
    </xf>
    <xf numFmtId="165" fontId="7" fillId="0" borderId="29" xfId="0" applyNumberFormat="1" applyFont="1" applyBorder="1">
      <alignment vertical="center"/>
    </xf>
    <xf numFmtId="173" fontId="11" fillId="0" borderId="1" xfId="1" applyNumberFormat="1" applyFont="1" applyFill="1" applyBorder="1" applyAlignment="1">
      <alignment horizontal="left" vertical="center" wrapText="1" indent="2"/>
    </xf>
    <xf numFmtId="0" fontId="31" fillId="0" borderId="0" xfId="0" applyFont="1" applyFill="1" applyBorder="1" applyAlignment="1">
      <alignment vertical="center" wrapText="1"/>
    </xf>
    <xf numFmtId="40" fontId="31" fillId="0" borderId="0" xfId="2" applyNumberFormat="1" applyFont="1" applyFill="1" applyBorder="1">
      <alignment vertical="center"/>
    </xf>
    <xf numFmtId="167" fontId="7" fillId="8" borderId="28" xfId="0" applyNumberFormat="1" applyFont="1" applyFill="1" applyBorder="1" applyProtection="1">
      <alignment vertical="center"/>
      <protection locked="0"/>
    </xf>
    <xf numFmtId="165" fontId="11" fillId="0" borderId="28" xfId="0" applyNumberFormat="1" applyFont="1" applyFill="1" applyBorder="1" applyAlignment="1">
      <alignment vertical="center" wrapText="1"/>
    </xf>
    <xf numFmtId="165" fontId="48" fillId="0" borderId="42" xfId="0" applyNumberFormat="1" applyFont="1" applyFill="1" applyBorder="1" applyAlignment="1">
      <alignment vertical="center" wrapText="1"/>
    </xf>
    <xf numFmtId="165" fontId="11" fillId="0" borderId="43" xfId="0" applyNumberFormat="1" applyFont="1" applyFill="1" applyBorder="1" applyAlignment="1">
      <alignment vertical="center" wrapText="1"/>
    </xf>
    <xf numFmtId="165" fontId="11" fillId="0" borderId="28" xfId="0" applyNumberFormat="1" applyFont="1" applyFill="1" applyBorder="1">
      <alignment vertical="center"/>
    </xf>
    <xf numFmtId="165" fontId="11" fillId="0" borderId="28" xfId="0" applyNumberFormat="1" applyFont="1" applyFill="1" applyBorder="1" applyAlignment="1">
      <alignment horizontal="right" vertical="center"/>
    </xf>
    <xf numFmtId="172" fontId="11" fillId="0" borderId="28" xfId="0" applyNumberFormat="1" applyFont="1" applyBorder="1" applyAlignment="1">
      <alignment horizontal="right" vertical="center"/>
    </xf>
    <xf numFmtId="0" fontId="7" fillId="10" borderId="44" xfId="0" applyFont="1" applyFill="1" applyBorder="1" applyAlignment="1" applyProtection="1">
      <alignment vertical="center" wrapText="1"/>
    </xf>
    <xf numFmtId="0" fontId="25" fillId="0" borderId="45" xfId="0" applyNumberFormat="1" applyFont="1" applyFill="1" applyBorder="1" applyAlignment="1" applyProtection="1">
      <alignment vertical="center" wrapText="1"/>
    </xf>
    <xf numFmtId="40" fontId="11" fillId="5" borderId="1" xfId="2" applyNumberFormat="1" applyFont="1" applyFill="1" applyBorder="1">
      <alignment vertical="center"/>
    </xf>
    <xf numFmtId="1" fontId="7" fillId="0" borderId="1" xfId="0" applyNumberFormat="1" applyFont="1" applyFill="1" applyBorder="1" applyProtection="1">
      <alignment vertical="center"/>
    </xf>
    <xf numFmtId="40" fontId="7" fillId="0" borderId="1" xfId="0" applyNumberFormat="1" applyFont="1" applyFill="1" applyBorder="1" applyProtection="1">
      <alignment vertical="center"/>
    </xf>
    <xf numFmtId="4" fontId="7" fillId="0" borderId="1" xfId="0" applyNumberFormat="1" applyFont="1" applyFill="1" applyBorder="1" applyProtection="1">
      <alignment vertical="center"/>
    </xf>
    <xf numFmtId="0" fontId="36" fillId="0" borderId="0" xfId="0" applyFont="1" applyAlignment="1">
      <alignment vertical="top" wrapText="1"/>
    </xf>
    <xf numFmtId="0" fontId="36" fillId="0" borderId="0" xfId="0" applyFont="1" applyAlignment="1">
      <alignment wrapText="1"/>
    </xf>
    <xf numFmtId="0" fontId="7" fillId="0" borderId="0" xfId="0" applyFont="1" applyAlignment="1">
      <alignment wrapText="1"/>
    </xf>
    <xf numFmtId="0" fontId="19" fillId="9" borderId="0" xfId="0" applyFont="1" applyFill="1" applyBorder="1" applyAlignment="1">
      <alignment vertical="center" wrapText="1"/>
    </xf>
    <xf numFmtId="0" fontId="7" fillId="10" borderId="46" xfId="0" applyFont="1" applyFill="1" applyBorder="1" applyAlignment="1" applyProtection="1">
      <alignment vertical="center" wrapText="1"/>
    </xf>
    <xf numFmtId="0" fontId="25" fillId="0" borderId="12" xfId="0" applyNumberFormat="1" applyFont="1" applyFill="1" applyBorder="1" applyAlignment="1" applyProtection="1">
      <alignment vertical="center" wrapText="1"/>
    </xf>
    <xf numFmtId="164" fontId="7" fillId="0" borderId="37" xfId="0" applyNumberFormat="1" applyFont="1" applyFill="1" applyBorder="1" applyProtection="1">
      <alignment vertical="center"/>
    </xf>
    <xf numFmtId="0" fontId="7" fillId="18" borderId="36" xfId="0" applyFont="1" applyFill="1" applyBorder="1" applyAlignment="1">
      <alignment vertical="top" wrapText="1"/>
    </xf>
    <xf numFmtId="0" fontId="25" fillId="18" borderId="36" xfId="0" applyFont="1" applyFill="1" applyBorder="1" applyAlignment="1">
      <alignment vertical="top" wrapText="1"/>
    </xf>
    <xf numFmtId="0" fontId="25" fillId="18" borderId="41" xfId="0" applyFont="1" applyFill="1" applyBorder="1" applyAlignment="1">
      <alignment vertical="top" wrapText="1"/>
    </xf>
    <xf numFmtId="0" fontId="25" fillId="4" borderId="47" xfId="0" applyFont="1" applyFill="1" applyBorder="1" applyAlignment="1">
      <alignment vertical="top" wrapText="1"/>
    </xf>
    <xf numFmtId="0" fontId="7" fillId="4" borderId="47" xfId="0" applyFont="1" applyFill="1" applyBorder="1" applyAlignment="1">
      <alignment vertical="top" wrapText="1"/>
    </xf>
    <xf numFmtId="0" fontId="7" fillId="4" borderId="48" xfId="0" applyFont="1" applyFill="1" applyBorder="1" applyAlignment="1">
      <alignment vertical="top" wrapText="1"/>
    </xf>
    <xf numFmtId="0" fontId="52" fillId="0" borderId="18" xfId="0" applyFont="1" applyFill="1" applyBorder="1" applyAlignment="1" applyProtection="1">
      <alignment vertical="center" wrapText="1"/>
    </xf>
    <xf numFmtId="0" fontId="52" fillId="0" borderId="18" xfId="0" applyFont="1" applyFill="1" applyBorder="1" applyAlignment="1" applyProtection="1">
      <alignment horizontal="left" vertical="center" wrapText="1"/>
    </xf>
    <xf numFmtId="0" fontId="53" fillId="0" borderId="18" xfId="0" applyFont="1" applyFill="1" applyBorder="1" applyAlignment="1" applyProtection="1">
      <alignment vertical="center" wrapText="1"/>
    </xf>
    <xf numFmtId="0" fontId="52" fillId="0" borderId="20" xfId="0" applyFont="1" applyFill="1" applyBorder="1" applyAlignment="1" applyProtection="1">
      <alignment vertical="center" wrapText="1"/>
    </xf>
    <xf numFmtId="167" fontId="2" fillId="9" borderId="49" xfId="0" applyNumberFormat="1" applyFont="1" applyFill="1" applyBorder="1" applyProtection="1">
      <alignment vertical="center"/>
    </xf>
    <xf numFmtId="0" fontId="14" fillId="5" borderId="1" xfId="0" applyFont="1" applyFill="1" applyBorder="1" applyAlignment="1">
      <alignment vertical="center" wrapText="1"/>
    </xf>
    <xf numFmtId="0" fontId="24" fillId="3" borderId="39" xfId="0" applyFont="1" applyFill="1" applyBorder="1" applyAlignment="1">
      <alignment vertical="top" wrapText="1"/>
    </xf>
    <xf numFmtId="0" fontId="13" fillId="9" borderId="0" xfId="0" applyFont="1" applyFill="1" applyBorder="1" applyAlignment="1">
      <alignment horizontal="center" vertical="center"/>
    </xf>
    <xf numFmtId="0" fontId="21" fillId="5" borderId="1" xfId="0" applyFont="1" applyFill="1" applyBorder="1">
      <alignment vertical="center"/>
    </xf>
    <xf numFmtId="0" fontId="36" fillId="0" borderId="0" xfId="0" applyFont="1" applyAlignment="1">
      <alignment vertical="center" wrapText="1"/>
    </xf>
    <xf numFmtId="0" fontId="21" fillId="0" borderId="0" xfId="0" applyFont="1" applyAlignment="1">
      <alignment vertical="top" wrapText="1"/>
    </xf>
    <xf numFmtId="165" fontId="30" fillId="5" borderId="50" xfId="0" applyNumberFormat="1" applyFont="1" applyFill="1" applyBorder="1" applyAlignment="1" applyProtection="1">
      <alignment vertical="center" wrapText="1"/>
    </xf>
    <xf numFmtId="165" fontId="7" fillId="5" borderId="50" xfId="0" applyNumberFormat="1" applyFont="1" applyFill="1" applyBorder="1" applyProtection="1">
      <alignment vertical="center"/>
    </xf>
    <xf numFmtId="0" fontId="24" fillId="10" borderId="51" xfId="0" applyFont="1" applyFill="1" applyBorder="1" applyAlignment="1">
      <alignment horizontal="center" vertical="center" wrapText="1"/>
    </xf>
    <xf numFmtId="0" fontId="24" fillId="10" borderId="52" xfId="0" applyFont="1" applyFill="1" applyBorder="1" applyAlignment="1">
      <alignment horizontal="center" vertical="center" wrapText="1"/>
    </xf>
    <xf numFmtId="0" fontId="24" fillId="10" borderId="53" xfId="0" applyFont="1" applyFill="1" applyBorder="1" applyAlignment="1">
      <alignment horizontal="center" vertical="center" wrapText="1"/>
    </xf>
    <xf numFmtId="0" fontId="25" fillId="9" borderId="51" xfId="0" applyFont="1" applyFill="1" applyBorder="1" applyAlignment="1">
      <alignment vertical="center" wrapText="1"/>
    </xf>
    <xf numFmtId="0" fontId="25" fillId="9" borderId="52" xfId="0" applyFont="1" applyFill="1" applyBorder="1" applyAlignment="1">
      <alignment vertical="center" wrapText="1"/>
    </xf>
    <xf numFmtId="0" fontId="25" fillId="9" borderId="53" xfId="0" applyFont="1" applyFill="1" applyBorder="1" applyAlignment="1">
      <alignment vertical="center" wrapText="1"/>
    </xf>
    <xf numFmtId="0" fontId="16" fillId="0" borderId="20" xfId="0" applyFont="1" applyFill="1" applyBorder="1" applyAlignment="1" applyProtection="1">
      <alignment horizontal="left" vertical="center" wrapText="1"/>
    </xf>
    <xf numFmtId="0" fontId="11" fillId="0" borderId="21" xfId="0" applyFont="1" applyFill="1" applyBorder="1" applyAlignment="1" applyProtection="1">
      <alignment horizontal="left" vertical="center" wrapText="1"/>
    </xf>
    <xf numFmtId="49" fontId="25" fillId="0" borderId="12" xfId="0" applyNumberFormat="1" applyFont="1" applyFill="1" applyBorder="1" applyAlignment="1" applyProtection="1">
      <alignment vertical="center" wrapText="1"/>
    </xf>
    <xf numFmtId="0" fontId="25" fillId="10" borderId="54" xfId="0" applyFont="1" applyFill="1" applyBorder="1" applyAlignment="1" applyProtection="1">
      <alignment vertical="center" wrapText="1"/>
    </xf>
    <xf numFmtId="0" fontId="24" fillId="10" borderId="55" xfId="0" applyFont="1" applyFill="1" applyBorder="1" applyAlignment="1">
      <alignment horizontal="center" vertical="center" wrapText="1"/>
    </xf>
    <xf numFmtId="0" fontId="25" fillId="9" borderId="55" xfId="0" applyFont="1" applyFill="1" applyBorder="1" applyAlignment="1">
      <alignment vertical="center" wrapText="1"/>
    </xf>
    <xf numFmtId="164" fontId="25" fillId="0" borderId="12" xfId="0" applyNumberFormat="1" applyFont="1" applyFill="1" applyBorder="1" applyProtection="1">
      <alignment vertical="center"/>
    </xf>
    <xf numFmtId="0" fontId="25" fillId="0" borderId="1" xfId="0" applyFont="1" applyFill="1" applyBorder="1" applyAlignment="1">
      <alignment vertical="center" wrapText="1"/>
    </xf>
    <xf numFmtId="164" fontId="13" fillId="5" borderId="56" xfId="0" applyNumberFormat="1" applyFont="1" applyFill="1" applyBorder="1" applyAlignment="1" applyProtection="1">
      <alignment horizontal="center" vertical="center" wrapText="1"/>
      <protection locked="0"/>
    </xf>
    <xf numFmtId="164" fontId="13" fillId="5" borderId="57" xfId="0" applyNumberFormat="1" applyFont="1" applyFill="1" applyBorder="1" applyAlignment="1" applyProtection="1">
      <alignment horizontal="center" vertical="center" wrapText="1"/>
      <protection locked="0"/>
    </xf>
    <xf numFmtId="0" fontId="7" fillId="15" borderId="11" xfId="0" applyFont="1" applyFill="1" applyBorder="1" applyAlignment="1" applyProtection="1">
      <alignment vertical="center" wrapText="1"/>
    </xf>
    <xf numFmtId="167" fontId="7" fillId="15" borderId="12" xfId="0" applyNumberFormat="1" applyFont="1" applyFill="1" applyBorder="1" applyProtection="1">
      <alignment vertical="center"/>
    </xf>
    <xf numFmtId="0" fontId="7" fillId="0" borderId="0" xfId="0" applyFont="1" applyAlignment="1">
      <alignment wrapText="1"/>
    </xf>
    <xf numFmtId="0" fontId="16" fillId="0" borderId="54" xfId="0" applyFont="1" applyFill="1" applyBorder="1" applyAlignment="1" applyProtection="1">
      <alignment horizontal="left" wrapText="1"/>
    </xf>
    <xf numFmtId="0" fontId="16" fillId="0" borderId="62" xfId="0" applyFont="1" applyFill="1" applyBorder="1" applyAlignment="1" applyProtection="1">
      <alignment horizontal="left" wrapText="1"/>
    </xf>
    <xf numFmtId="0" fontId="22" fillId="0" borderId="54" xfId="0" applyFont="1" applyFill="1" applyBorder="1" applyAlignment="1" applyProtection="1">
      <alignment horizontal="left" wrapText="1"/>
    </xf>
    <xf numFmtId="0" fontId="22" fillId="0" borderId="62" xfId="0" applyFont="1" applyFill="1" applyBorder="1" applyAlignment="1" applyProtection="1">
      <alignment horizontal="left" wrapText="1"/>
    </xf>
    <xf numFmtId="0" fontId="7" fillId="0" borderId="37"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xf>
    <xf numFmtId="0" fontId="33" fillId="5" borderId="63" xfId="0" applyFont="1" applyFill="1" applyBorder="1" applyAlignment="1" applyProtection="1">
      <alignment horizontal="center" vertical="center" wrapText="1"/>
    </xf>
    <xf numFmtId="0" fontId="33" fillId="5" borderId="58" xfId="0" applyFont="1" applyFill="1" applyBorder="1" applyAlignment="1" applyProtection="1">
      <alignment horizontal="center" vertical="center" wrapText="1"/>
    </xf>
    <xf numFmtId="0" fontId="26" fillId="0" borderId="59" xfId="0" applyNumberFormat="1" applyFont="1" applyFill="1" applyBorder="1" applyAlignment="1" applyProtection="1">
      <alignment horizontal="left" vertical="center" wrapText="1"/>
      <protection locked="0"/>
    </xf>
    <xf numFmtId="0" fontId="26" fillId="0" borderId="60" xfId="0" applyNumberFormat="1" applyFont="1" applyFill="1" applyBorder="1" applyAlignment="1" applyProtection="1">
      <alignment horizontal="left" vertical="center" wrapText="1"/>
      <protection locked="0"/>
    </xf>
    <xf numFmtId="0" fontId="25" fillId="0" borderId="37" xfId="0" applyFont="1" applyFill="1" applyBorder="1" applyAlignment="1" applyProtection="1">
      <alignment horizontal="left" vertical="center" wrapText="1"/>
    </xf>
    <xf numFmtId="0" fontId="25" fillId="0" borderId="38" xfId="0" applyFont="1" applyFill="1" applyBorder="1" applyAlignment="1" applyProtection="1">
      <alignment horizontal="left" vertical="center" wrapText="1"/>
    </xf>
    <xf numFmtId="165" fontId="11" fillId="0" borderId="61" xfId="0" applyNumberFormat="1" applyFont="1" applyFill="1" applyBorder="1" applyAlignment="1" applyProtection="1">
      <alignment horizontal="left" vertical="center" wrapText="1"/>
    </xf>
    <xf numFmtId="165" fontId="11" fillId="0" borderId="64" xfId="0" applyNumberFormat="1" applyFont="1" applyFill="1" applyBorder="1" applyAlignment="1" applyProtection="1">
      <alignment horizontal="left" vertical="center" wrapText="1"/>
    </xf>
    <xf numFmtId="0" fontId="11" fillId="0" borderId="54" xfId="0" applyFont="1" applyFill="1" applyBorder="1" applyAlignment="1" applyProtection="1">
      <alignment horizontal="left" vertical="center" wrapText="1"/>
    </xf>
    <xf numFmtId="0" fontId="11" fillId="0" borderId="62" xfId="0" applyFont="1" applyFill="1" applyBorder="1" applyAlignment="1" applyProtection="1">
      <alignment horizontal="left" vertical="center" wrapText="1"/>
    </xf>
    <xf numFmtId="0" fontId="43" fillId="0" borderId="6" xfId="0" applyFont="1" applyFill="1" applyBorder="1" applyAlignment="1">
      <alignment horizontal="left" vertical="center" wrapText="1"/>
    </xf>
    <xf numFmtId="165" fontId="7" fillId="0" borderId="65" xfId="0" applyNumberFormat="1" applyFont="1" applyFill="1" applyBorder="1" applyAlignment="1">
      <alignment horizontal="left" vertical="center" wrapText="1"/>
    </xf>
    <xf numFmtId="165" fontId="7" fillId="0" borderId="66" xfId="0" applyNumberFormat="1" applyFont="1" applyFill="1" applyBorder="1" applyAlignment="1">
      <alignment horizontal="left" vertical="center" wrapText="1"/>
    </xf>
    <xf numFmtId="0" fontId="7" fillId="0" borderId="6" xfId="0" applyFont="1" applyFill="1" applyBorder="1" applyAlignment="1">
      <alignment horizontal="left" vertical="center" wrapText="1"/>
    </xf>
    <xf numFmtId="165" fontId="11" fillId="0" borderId="67" xfId="0" applyNumberFormat="1" applyFont="1" applyFill="1" applyBorder="1" applyAlignment="1">
      <alignment horizontal="left" vertical="center" wrapText="1"/>
    </xf>
    <xf numFmtId="165" fontId="11" fillId="0" borderId="6" xfId="0" applyNumberFormat="1" applyFont="1" applyFill="1" applyBorder="1" applyAlignment="1">
      <alignment horizontal="left" vertical="center" wrapText="1"/>
    </xf>
    <xf numFmtId="165" fontId="11" fillId="0" borderId="68"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5"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35" xfId="0" applyFont="1" applyFill="1" applyBorder="1" applyAlignment="1">
      <alignment horizontal="center" vertical="center" wrapText="1"/>
    </xf>
    <xf numFmtId="0" fontId="7" fillId="5" borderId="7"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1" xfId="0" applyFont="1" applyFill="1" applyBorder="1" applyAlignment="1">
      <alignment horizontal="center" vertical="center"/>
    </xf>
    <xf numFmtId="0" fontId="34" fillId="5" borderId="7"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10" borderId="7" xfId="0" applyFont="1" applyFill="1" applyBorder="1" applyAlignment="1">
      <alignment horizontal="center" vertical="center"/>
    </xf>
    <xf numFmtId="0" fontId="7" fillId="10" borderId="35" xfId="0" applyFont="1" applyFill="1" applyBorder="1" applyAlignment="1">
      <alignment horizontal="center" vertical="center"/>
    </xf>
    <xf numFmtId="0" fontId="7" fillId="0" borderId="1" xfId="0" applyFont="1" applyBorder="1" applyAlignment="1">
      <alignment vertical="center" wrapText="1"/>
    </xf>
    <xf numFmtId="0" fontId="7" fillId="5" borderId="2"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10" xfId="0" applyFont="1" applyFill="1" applyBorder="1" applyAlignment="1">
      <alignment horizontal="center" vertical="center"/>
    </xf>
    <xf numFmtId="0" fontId="7" fillId="0" borderId="7" xfId="0" applyFont="1" applyBorder="1" applyAlignment="1">
      <alignment vertical="center" wrapText="1"/>
    </xf>
    <xf numFmtId="0" fontId="7" fillId="0" borderId="35" xfId="0" applyFont="1" applyBorder="1" applyAlignment="1">
      <alignment vertical="center" wrapText="1"/>
    </xf>
    <xf numFmtId="0" fontId="7" fillId="0" borderId="0" xfId="0" applyFont="1" applyAlignment="1">
      <alignment horizontal="left" vertical="center" wrapText="1"/>
    </xf>
    <xf numFmtId="0" fontId="7" fillId="0" borderId="1" xfId="0" applyFont="1" applyBorder="1" applyAlignment="1">
      <alignment horizontal="center" vertical="center"/>
    </xf>
    <xf numFmtId="4" fontId="13" fillId="5" borderId="1" xfId="0" applyNumberFormat="1" applyFont="1" applyFill="1" applyBorder="1" applyAlignment="1">
      <alignment horizontal="center" vertical="center" wrapText="1"/>
    </xf>
    <xf numFmtId="4" fontId="7" fillId="0" borderId="2"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7" fillId="0" borderId="2" xfId="0" applyNumberFormat="1" applyFont="1" applyBorder="1" applyAlignment="1">
      <alignment horizontal="center" vertical="center" wrapText="1"/>
    </xf>
    <xf numFmtId="4" fontId="7" fillId="0" borderId="39"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4" fontId="7" fillId="0" borderId="39" xfId="0" applyNumberFormat="1" applyFont="1" applyBorder="1" applyAlignment="1">
      <alignment horizontal="center" vertical="center"/>
    </xf>
    <xf numFmtId="4" fontId="7" fillId="5" borderId="1" xfId="0" applyNumberFormat="1" applyFont="1" applyFill="1" applyBorder="1" applyAlignment="1">
      <alignment horizontal="center" vertical="center"/>
    </xf>
    <xf numFmtId="4" fontId="7" fillId="4" borderId="2" xfId="0" applyNumberFormat="1" applyFont="1" applyFill="1" applyBorder="1" applyAlignment="1">
      <alignment horizontal="center" vertical="center"/>
    </xf>
    <xf numFmtId="4" fontId="7" fillId="4" borderId="10" xfId="0" applyNumberFormat="1" applyFont="1" applyFill="1" applyBorder="1" applyAlignment="1">
      <alignment horizontal="center" vertical="center"/>
    </xf>
    <xf numFmtId="4" fontId="7" fillId="0" borderId="6" xfId="0" applyNumberFormat="1" applyFont="1" applyFill="1" applyBorder="1" applyAlignment="1">
      <alignment horizontal="left" vertical="center" wrapText="1"/>
    </xf>
    <xf numFmtId="0" fontId="36" fillId="19" borderId="69" xfId="0" applyFont="1" applyFill="1" applyBorder="1" applyAlignment="1">
      <alignment horizontal="left" vertical="center" wrapText="1"/>
    </xf>
    <xf numFmtId="0" fontId="36" fillId="19" borderId="70" xfId="0" applyFont="1" applyFill="1" applyBorder="1" applyAlignment="1">
      <alignment horizontal="left" vertical="center" wrapText="1"/>
    </xf>
  </cellXfs>
  <cellStyles count="3">
    <cellStyle name="Comma" xfId="1" builtinId="3"/>
    <cellStyle name="Comma [0]" xfId="2" builtinId="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AF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EF5FE"/>
      <rgbColor rgb="00CCFFCC"/>
      <rgbColor rgb="00FBC93B"/>
      <rgbColor rgb="0099CCFF"/>
      <rgbColor rgb="00EEC8D9"/>
      <rgbColor rgb="00CC99FF"/>
      <rgbColor rgb="00FFCC99"/>
      <rgbColor rgb="003366FF"/>
      <rgbColor rgb="0033CCCC"/>
      <rgbColor rgb="0099CC00"/>
      <rgbColor rgb="00FFCC00"/>
      <rgbColor rgb="00FF9900"/>
      <rgbColor rgb="00FF6600"/>
      <rgbColor rgb="009999F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b="1" i="0" u="none" strike="noStrike" baseline="0">
                <a:solidFill>
                  <a:srgbClr val="000000"/>
                </a:solidFill>
                <a:latin typeface="Calibri"/>
                <a:ea typeface="Calibri"/>
                <a:cs typeface="Calibri"/>
              </a:defRPr>
            </a:pPr>
            <a:r>
              <a:t>Cost of PMTCT and paediatric treatment  (in USD)</a:t>
            </a:r>
          </a:p>
        </c:rich>
      </c:tx>
      <c:spPr>
        <a:noFill/>
        <a:ln w="25400">
          <a:noFill/>
        </a:ln>
      </c:spPr>
    </c:title>
    <c:view3D>
      <c:depthPercent val="100"/>
      <c:rAngAx val="1"/>
    </c:view3D>
    <c:plotArea>
      <c:layout>
        <c:manualLayout>
          <c:layoutTarget val="inner"/>
          <c:xMode val="edge"/>
          <c:yMode val="edge"/>
          <c:x val="0.33573220111146024"/>
          <c:y val="0.19877735204436744"/>
          <c:w val="0.31654750390509095"/>
          <c:h val="0.42507772206410688"/>
        </c:manualLayout>
      </c:layout>
      <c:bar3DChart>
        <c:barDir val="col"/>
        <c:grouping val="stacked"/>
        <c:ser>
          <c:idx val="0"/>
          <c:order val="0"/>
          <c:tx>
            <c:strRef>
              <c:f>'5. Summary graphs'!$B$6</c:f>
              <c:strCache>
                <c:ptCount val="1"/>
                <c:pt idx="0">
                  <c:v>Total costs of PMTCT</c:v>
                </c:pt>
              </c:strCache>
            </c:strRef>
          </c:tx>
          <c:spPr>
            <a:solidFill>
              <a:srgbClr val="0078D2"/>
            </a:solidFill>
          </c:spPr>
          <c:cat>
            <c:strRef>
              <c:f>'5. Summary graphs'!$C$5:$G$5</c:f>
              <c:strCache>
                <c:ptCount val="5"/>
                <c:pt idx="0">
                  <c:v>Target Scenario</c:v>
                </c:pt>
                <c:pt idx="1">
                  <c:v>Intermediate Scenario 2</c:v>
                </c:pt>
                <c:pt idx="2">
                  <c:v>Intermediate Scenario 1</c:v>
                </c:pt>
                <c:pt idx="3">
                  <c:v>Current Scenario 
with ANC data</c:v>
                </c:pt>
                <c:pt idx="4">
                  <c:v>Current Scenario without ANC data</c:v>
                </c:pt>
              </c:strCache>
            </c:strRef>
          </c:cat>
          <c:val>
            <c:numRef>
              <c:f>'5. Summary graphs'!$C$6:$G$6</c:f>
              <c:numCache>
                <c:formatCode>#,##0_);[Red]\(#,##0\)</c:formatCode>
                <c:ptCount val="5"/>
                <c:pt idx="0">
                  <c:v>553506.12120178633</c:v>
                </c:pt>
                <c:pt idx="1">
                  <c:v>432629.19712665014</c:v>
                </c:pt>
                <c:pt idx="2">
                  <c:v>349483.96385292825</c:v>
                </c:pt>
                <c:pt idx="3">
                  <c:v>274937.50973842165</c:v>
                </c:pt>
                <c:pt idx="4">
                  <c:v>254864.78131589392</c:v>
                </c:pt>
              </c:numCache>
            </c:numRef>
          </c:val>
        </c:ser>
        <c:ser>
          <c:idx val="1"/>
          <c:order val="1"/>
          <c:tx>
            <c:strRef>
              <c:f>'5. Summary graphs'!$B$7</c:f>
              <c:strCache>
                <c:ptCount val="1"/>
                <c:pt idx="0">
                  <c:v>Total costs of paediatric HIV treatment </c:v>
                </c:pt>
              </c:strCache>
            </c:strRef>
          </c:tx>
          <c:spPr>
            <a:solidFill>
              <a:srgbClr val="DE0000"/>
            </a:solidFill>
          </c:spPr>
          <c:cat>
            <c:strRef>
              <c:f>'5. Summary graphs'!$C$5:$G$5</c:f>
              <c:strCache>
                <c:ptCount val="5"/>
                <c:pt idx="0">
                  <c:v>Target Scenario</c:v>
                </c:pt>
                <c:pt idx="1">
                  <c:v>Intermediate Scenario 2</c:v>
                </c:pt>
                <c:pt idx="2">
                  <c:v>Intermediate Scenario 1</c:v>
                </c:pt>
                <c:pt idx="3">
                  <c:v>Current Scenario 
with ANC data</c:v>
                </c:pt>
                <c:pt idx="4">
                  <c:v>Current Scenario without ANC data</c:v>
                </c:pt>
              </c:strCache>
            </c:strRef>
          </c:cat>
          <c:val>
            <c:numRef>
              <c:f>'5. Summary graphs'!$C$7:$G$7</c:f>
              <c:numCache>
                <c:formatCode>#,##0_);[Red]\(#,##0\)</c:formatCode>
                <c:ptCount val="5"/>
                <c:pt idx="0">
                  <c:v>201352.88384945996</c:v>
                </c:pt>
                <c:pt idx="1">
                  <c:v>403604.45000511088</c:v>
                </c:pt>
                <c:pt idx="2">
                  <c:v>592190.9504021944</c:v>
                </c:pt>
                <c:pt idx="3">
                  <c:v>757204.13824964245</c:v>
                </c:pt>
                <c:pt idx="4">
                  <c:v>869349.43931785109</c:v>
                </c:pt>
              </c:numCache>
            </c:numRef>
          </c:val>
        </c:ser>
        <c:shape val="cylinder"/>
        <c:axId val="35599104"/>
        <c:axId val="35600640"/>
        <c:axId val="0"/>
      </c:bar3DChart>
      <c:catAx>
        <c:axId val="35599104"/>
        <c:scaling>
          <c:orientation val="minMax"/>
        </c:scaling>
        <c:axPos val="b"/>
        <c:numFmt formatCode="General" sourceLinked="1"/>
        <c:tickLblPos val="nextTo"/>
        <c:txPr>
          <a:bodyPr/>
          <a:lstStyle/>
          <a:p>
            <a:pPr>
              <a:defRPr lang="ja-JP"/>
            </a:pPr>
            <a:endParaRPr lang="en-US"/>
          </a:p>
        </c:txPr>
        <c:crossAx val="35600640"/>
        <c:crosses val="autoZero"/>
        <c:auto val="1"/>
        <c:lblAlgn val="ctr"/>
        <c:lblOffset val="100"/>
      </c:catAx>
      <c:valAx>
        <c:axId val="35600640"/>
        <c:scaling>
          <c:orientation val="minMax"/>
        </c:scaling>
        <c:axPos val="l"/>
        <c:majorGridlines/>
        <c:numFmt formatCode="#,##0_);[Red]\(#,##0\)" sourceLinked="1"/>
        <c:tickLblPos val="nextTo"/>
        <c:txPr>
          <a:bodyPr/>
          <a:lstStyle/>
          <a:p>
            <a:pPr>
              <a:defRPr lang="ja-JP"/>
            </a:pPr>
            <a:endParaRPr lang="en-US"/>
          </a:p>
        </c:txPr>
        <c:crossAx val="35599104"/>
        <c:crosses val="autoZero"/>
        <c:crossBetween val="between"/>
      </c:valAx>
      <c:spPr>
        <a:noFill/>
        <a:ln w="25400">
          <a:noFill/>
        </a:ln>
      </c:spPr>
    </c:plotArea>
    <c:legend>
      <c:legendPos val="r"/>
      <c:layout>
        <c:manualLayout>
          <c:xMode val="edge"/>
          <c:yMode val="edge"/>
          <c:wMode val="edge"/>
          <c:hMode val="edge"/>
          <c:x val="0.66906625880398052"/>
          <c:y val="0.41284532094038706"/>
          <c:w val="0.97841953209086285"/>
          <c:h val="0.75535392938268042"/>
        </c:manualLayout>
      </c:layout>
      <c:txPr>
        <a:bodyPr/>
        <a:lstStyle/>
        <a:p>
          <a:pPr>
            <a:defRPr lang="ja-JP"/>
          </a:pPr>
          <a:endParaRPr lang="en-US"/>
        </a:p>
      </c:txPr>
    </c:legend>
    <c:plotVisOnly val="1"/>
    <c:dispBlanksAs val="gap"/>
  </c:chart>
  <c:printSettings>
    <c:headerFooter/>
    <c:pageMargins b="0.75000000000001088" l="0.70000000000000062" r="0.70000000000000062" t="0.7500000000000108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b="1" i="0" u="none" strike="noStrike" baseline="0">
                <a:solidFill>
                  <a:srgbClr val="000000"/>
                </a:solidFill>
                <a:latin typeface="Calibri"/>
                <a:ea typeface="Calibri"/>
                <a:cs typeface="Calibri"/>
              </a:defRPr>
            </a:pPr>
            <a:r>
              <a:t>Cost per HIV infection averted 
(in USD)</a:t>
            </a:r>
          </a:p>
        </c:rich>
      </c:tx>
      <c:spPr>
        <a:noFill/>
        <a:ln w="25400">
          <a:noFill/>
        </a:ln>
      </c:spPr>
    </c:title>
    <c:view3D>
      <c:depthPercent val="100"/>
      <c:rAngAx val="1"/>
    </c:view3D>
    <c:plotArea>
      <c:layout>
        <c:manualLayout>
          <c:layoutTarget val="inner"/>
          <c:xMode val="edge"/>
          <c:yMode val="edge"/>
          <c:x val="0.3165475039050889"/>
          <c:y val="0.22516556291390699"/>
          <c:w val="0.29496471954792391"/>
          <c:h val="0.46688741721854404"/>
        </c:manualLayout>
      </c:layout>
      <c:bar3DChart>
        <c:barDir val="col"/>
        <c:grouping val="clustered"/>
        <c:ser>
          <c:idx val="0"/>
          <c:order val="0"/>
          <c:tx>
            <c:strRef>
              <c:f>'5. Summary graphs'!$B$18</c:f>
              <c:strCache>
                <c:ptCount val="1"/>
                <c:pt idx="0">
                  <c:v>Cost per HIV infection averted</c:v>
                </c:pt>
              </c:strCache>
            </c:strRef>
          </c:tx>
          <c:spPr>
            <a:solidFill>
              <a:srgbClr val="92D050"/>
            </a:solidFill>
          </c:spPr>
          <c:cat>
            <c:strRef>
              <c:f>'5. Summary graphs'!$C$17:$G$17</c:f>
              <c:strCache>
                <c:ptCount val="5"/>
                <c:pt idx="0">
                  <c:v>Target Scenario</c:v>
                </c:pt>
                <c:pt idx="1">
                  <c:v>Intermediate Scenario 2</c:v>
                </c:pt>
                <c:pt idx="2">
                  <c:v>Intermediate Scenario 1</c:v>
                </c:pt>
                <c:pt idx="3">
                  <c:v>Current Scenario 
with ANC data</c:v>
                </c:pt>
                <c:pt idx="4">
                  <c:v>Current Scenario without ANC data</c:v>
                </c:pt>
              </c:strCache>
            </c:strRef>
          </c:cat>
          <c:val>
            <c:numRef>
              <c:f>'5. Summary graphs'!$C$18:$G$18</c:f>
              <c:numCache>
                <c:formatCode>#,##0_);[Red]\(#,##0\)</c:formatCode>
                <c:ptCount val="5"/>
                <c:pt idx="0">
                  <c:v>3669.1437501544669</c:v>
                </c:pt>
                <c:pt idx="1">
                  <c:v>3446.5279679627583</c:v>
                </c:pt>
                <c:pt idx="2">
                  <c:v>3431.1784120664056</c:v>
                </c:pt>
                <c:pt idx="3">
                  <c:v>3388.2877455355065</c:v>
                </c:pt>
                <c:pt idx="4">
                  <c:v>3806.67913304896</c:v>
                </c:pt>
              </c:numCache>
            </c:numRef>
          </c:val>
        </c:ser>
        <c:shape val="cylinder"/>
        <c:axId val="35641984"/>
        <c:axId val="35643776"/>
        <c:axId val="0"/>
      </c:bar3DChart>
      <c:catAx>
        <c:axId val="35641984"/>
        <c:scaling>
          <c:orientation val="minMax"/>
        </c:scaling>
        <c:axPos val="b"/>
        <c:numFmt formatCode="General" sourceLinked="1"/>
        <c:tickLblPos val="nextTo"/>
        <c:txPr>
          <a:bodyPr/>
          <a:lstStyle/>
          <a:p>
            <a:pPr>
              <a:defRPr lang="ja-JP"/>
            </a:pPr>
            <a:endParaRPr lang="en-US"/>
          </a:p>
        </c:txPr>
        <c:crossAx val="35643776"/>
        <c:crosses val="autoZero"/>
        <c:auto val="1"/>
        <c:lblAlgn val="ctr"/>
        <c:lblOffset val="100"/>
      </c:catAx>
      <c:valAx>
        <c:axId val="35643776"/>
        <c:scaling>
          <c:orientation val="minMax"/>
        </c:scaling>
        <c:axPos val="l"/>
        <c:majorGridlines/>
        <c:numFmt formatCode="#,##0_);[Red]\(#,##0\)" sourceLinked="1"/>
        <c:tickLblPos val="nextTo"/>
        <c:txPr>
          <a:bodyPr/>
          <a:lstStyle/>
          <a:p>
            <a:pPr>
              <a:defRPr lang="ja-JP"/>
            </a:pPr>
            <a:endParaRPr lang="en-US"/>
          </a:p>
        </c:txPr>
        <c:crossAx val="35641984"/>
        <c:crosses val="autoZero"/>
        <c:crossBetween val="between"/>
      </c:valAx>
      <c:spPr>
        <a:noFill/>
        <a:ln w="25400">
          <a:noFill/>
        </a:ln>
      </c:spPr>
    </c:plotArea>
    <c:legend>
      <c:legendPos val="r"/>
      <c:layout>
        <c:manualLayout>
          <c:xMode val="edge"/>
          <c:yMode val="edge"/>
          <c:wMode val="edge"/>
          <c:hMode val="edge"/>
          <c:x val="0.64268736192148646"/>
          <c:y val="0.48675496688741721"/>
          <c:w val="0.97841953209086274"/>
          <c:h val="0.61920529801324498"/>
        </c:manualLayout>
      </c:layout>
      <c:txPr>
        <a:bodyPr/>
        <a:lstStyle/>
        <a:p>
          <a:pPr>
            <a:defRPr lang="ja-JP"/>
          </a:pPr>
          <a:endParaRPr lang="en-US"/>
        </a:p>
      </c:txPr>
    </c:legend>
    <c:plotVisOnly val="1"/>
    <c:dispBlanksAs val="gap"/>
  </c:chart>
  <c:printSettings>
    <c:headerFooter/>
    <c:pageMargins b="0.75000000000001088" l="0.70000000000000062" r="0.70000000000000062" t="0.7500000000000108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b="1" i="0" u="none" strike="noStrike" baseline="0">
                <a:solidFill>
                  <a:srgbClr val="000000"/>
                </a:solidFill>
                <a:latin typeface="Calibri"/>
                <a:ea typeface="Calibri"/>
                <a:cs typeface="Calibri"/>
              </a:defRPr>
            </a:pPr>
            <a:r>
              <a:t>Total savings on PMTCT (in USD)</a:t>
            </a:r>
          </a:p>
        </c:rich>
      </c:tx>
      <c:spPr>
        <a:noFill/>
        <a:ln w="25400">
          <a:noFill/>
        </a:ln>
      </c:spPr>
    </c:title>
    <c:view3D>
      <c:depthPercent val="100"/>
      <c:rAngAx val="1"/>
    </c:view3D>
    <c:plotArea>
      <c:layout>
        <c:manualLayout>
          <c:layoutTarget val="inner"/>
          <c:xMode val="edge"/>
          <c:yMode val="edge"/>
          <c:x val="0.35491689831783158"/>
          <c:y val="0.11821104702951379"/>
          <c:w val="0.33813028826225788"/>
          <c:h val="0.55910630351797053"/>
        </c:manualLayout>
      </c:layout>
      <c:bar3DChart>
        <c:barDir val="col"/>
        <c:grouping val="clustered"/>
        <c:ser>
          <c:idx val="0"/>
          <c:order val="0"/>
          <c:tx>
            <c:strRef>
              <c:f>'5. Summary graphs'!$B$32</c:f>
              <c:strCache>
                <c:ptCount val="1"/>
                <c:pt idx="0">
                  <c:v>Total savings on PMTCT*</c:v>
                </c:pt>
              </c:strCache>
            </c:strRef>
          </c:tx>
          <c:spPr>
            <a:solidFill>
              <a:srgbClr val="DAA600"/>
            </a:solidFill>
          </c:spPr>
          <c:cat>
            <c:strRef>
              <c:f>'5. Summary graphs'!$C$31:$G$31</c:f>
              <c:strCache>
                <c:ptCount val="5"/>
                <c:pt idx="0">
                  <c:v>Target Scenario</c:v>
                </c:pt>
                <c:pt idx="1">
                  <c:v>Intermediate Scenario 2</c:v>
                </c:pt>
                <c:pt idx="2">
                  <c:v>Intermediate Scenario 1</c:v>
                </c:pt>
                <c:pt idx="3">
                  <c:v>Current Scenario 
with ANC data</c:v>
                </c:pt>
                <c:pt idx="4">
                  <c:v>Current Scenario without ANC data</c:v>
                </c:pt>
              </c:strCache>
            </c:strRef>
          </c:cat>
          <c:val>
            <c:numRef>
              <c:f>'5. Summary graphs'!$C$32:$G$32</c:f>
              <c:numCache>
                <c:formatCode>#,##0_);[Red]\(#,##0\)</c:formatCode>
                <c:ptCount val="5"/>
                <c:pt idx="0">
                  <c:v>737633.01928379491</c:v>
                </c:pt>
                <c:pt idx="1">
                  <c:v>604399.27651868679</c:v>
                </c:pt>
                <c:pt idx="2">
                  <c:v>482203.63639073947</c:v>
                </c:pt>
                <c:pt idx="3">
                  <c:v>384055.34081983531</c:v>
                </c:pt>
                <c:pt idx="4">
                  <c:v>286937.01766769279</c:v>
                </c:pt>
              </c:numCache>
            </c:numRef>
          </c:val>
        </c:ser>
        <c:shape val="cylinder"/>
        <c:axId val="51335552"/>
        <c:axId val="51337088"/>
        <c:axId val="0"/>
      </c:bar3DChart>
      <c:catAx>
        <c:axId val="51335552"/>
        <c:scaling>
          <c:orientation val="minMax"/>
        </c:scaling>
        <c:axPos val="b"/>
        <c:numFmt formatCode="General" sourceLinked="1"/>
        <c:tickLblPos val="nextTo"/>
        <c:txPr>
          <a:bodyPr/>
          <a:lstStyle/>
          <a:p>
            <a:pPr>
              <a:defRPr lang="ja-JP"/>
            </a:pPr>
            <a:endParaRPr lang="en-US"/>
          </a:p>
        </c:txPr>
        <c:crossAx val="51337088"/>
        <c:crosses val="autoZero"/>
        <c:auto val="1"/>
        <c:lblAlgn val="ctr"/>
        <c:lblOffset val="100"/>
      </c:catAx>
      <c:valAx>
        <c:axId val="51337088"/>
        <c:scaling>
          <c:orientation val="minMax"/>
        </c:scaling>
        <c:axPos val="l"/>
        <c:majorGridlines/>
        <c:numFmt formatCode="#,##0_);[Red]\(#,##0\)" sourceLinked="1"/>
        <c:tickLblPos val="nextTo"/>
        <c:txPr>
          <a:bodyPr/>
          <a:lstStyle/>
          <a:p>
            <a:pPr>
              <a:defRPr lang="ja-JP"/>
            </a:pPr>
            <a:endParaRPr lang="en-US"/>
          </a:p>
        </c:txPr>
        <c:crossAx val="51335552"/>
        <c:crosses val="autoZero"/>
        <c:crossBetween val="between"/>
      </c:valAx>
      <c:spPr>
        <a:noFill/>
        <a:ln w="25400">
          <a:noFill/>
        </a:ln>
      </c:spPr>
    </c:plotArea>
    <c:legend>
      <c:legendPos val="r"/>
      <c:layout>
        <c:manualLayout>
          <c:xMode val="edge"/>
          <c:yMode val="edge"/>
          <c:wMode val="edge"/>
          <c:hMode val="edge"/>
          <c:x val="0.71702814126651437"/>
          <c:y val="0.48734243662580151"/>
          <c:w val="0.97841953209086274"/>
          <c:h val="0.61392504734376552"/>
        </c:manualLayout>
      </c:layout>
      <c:txPr>
        <a:bodyPr/>
        <a:lstStyle/>
        <a:p>
          <a:pPr>
            <a:defRPr lang="ja-JP"/>
          </a:pPr>
          <a:endParaRPr lang="en-US"/>
        </a:p>
      </c:txPr>
    </c:legend>
    <c:plotVisOnly val="1"/>
    <c:dispBlanksAs val="gap"/>
  </c:chart>
  <c:printSettings>
    <c:headerFooter/>
    <c:pageMargins b="0.75000000000001088" l="0.70000000000000062" r="0.70000000000000062" t="0.75000000000001088"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b="1" i="0" u="none" strike="noStrike" baseline="0">
                <a:solidFill>
                  <a:srgbClr val="000000"/>
                </a:solidFill>
                <a:latin typeface="Calibri"/>
                <a:ea typeface="Calibri"/>
                <a:cs typeface="Calibri"/>
              </a:defRPr>
            </a:pPr>
            <a:r>
              <a:t>Cost per congenital syphilis averted
 (in USD)</a:t>
            </a:r>
          </a:p>
        </c:rich>
      </c:tx>
      <c:spPr>
        <a:noFill/>
        <a:ln w="25400">
          <a:noFill/>
        </a:ln>
      </c:spPr>
    </c:title>
    <c:view3D>
      <c:depthPercent val="100"/>
      <c:rAngAx val="1"/>
    </c:view3D>
    <c:plotArea>
      <c:layout>
        <c:manualLayout>
          <c:layoutTarget val="inner"/>
          <c:xMode val="edge"/>
          <c:yMode val="edge"/>
          <c:x val="0.34052837541305297"/>
          <c:y val="0.19662921348314608"/>
          <c:w val="0.34772263686543781"/>
          <c:h val="0.6179775280898937"/>
        </c:manualLayout>
      </c:layout>
      <c:bar3DChart>
        <c:barDir val="col"/>
        <c:grouping val="clustered"/>
        <c:ser>
          <c:idx val="0"/>
          <c:order val="0"/>
          <c:tx>
            <c:strRef>
              <c:f>'5. Summary graphs'!$B$48</c:f>
              <c:strCache>
                <c:ptCount val="1"/>
                <c:pt idx="0">
                  <c:v>Cost per congenital syphilis case averted</c:v>
                </c:pt>
              </c:strCache>
            </c:strRef>
          </c:tx>
          <c:spPr>
            <a:solidFill>
              <a:schemeClr val="accent5">
                <a:lumMod val="60000"/>
                <a:lumOff val="40000"/>
              </a:schemeClr>
            </a:solidFill>
          </c:spPr>
          <c:cat>
            <c:strRef>
              <c:f>'5. Summary graphs'!$C$47:$G$47</c:f>
              <c:strCache>
                <c:ptCount val="5"/>
                <c:pt idx="0">
                  <c:v>Target Scenario</c:v>
                </c:pt>
                <c:pt idx="1">
                  <c:v>Intermediate Scenario 2</c:v>
                </c:pt>
                <c:pt idx="2">
                  <c:v>Intermediate Scenario 1</c:v>
                </c:pt>
                <c:pt idx="3">
                  <c:v>Current Scenario 
with ANC data</c:v>
                </c:pt>
                <c:pt idx="4">
                  <c:v>Current Scenario without ANC data</c:v>
                </c:pt>
              </c:strCache>
            </c:strRef>
          </c:cat>
          <c:val>
            <c:numRef>
              <c:f>'5. Summary graphs'!$C$48:$G$48</c:f>
              <c:numCache>
                <c:formatCode>#,##0_);[Red]\(#,##0\)</c:formatCode>
                <c:ptCount val="5"/>
                <c:pt idx="0">
                  <c:v>209.9710144927536</c:v>
                </c:pt>
                <c:pt idx="1">
                  <c:v>221.64705882352939</c:v>
                </c:pt>
                <c:pt idx="2">
                  <c:v>250.43478260869566</c:v>
                </c:pt>
                <c:pt idx="3">
                  <c:v>288.08026755852842</c:v>
                </c:pt>
                <c:pt idx="4">
                  <c:v>221.02212051868801</c:v>
                </c:pt>
              </c:numCache>
            </c:numRef>
          </c:val>
        </c:ser>
        <c:shape val="cylinder"/>
        <c:axId val="51353472"/>
        <c:axId val="51355008"/>
        <c:axId val="0"/>
      </c:bar3DChart>
      <c:catAx>
        <c:axId val="51353472"/>
        <c:scaling>
          <c:orientation val="minMax"/>
        </c:scaling>
        <c:axPos val="b"/>
        <c:numFmt formatCode="General" sourceLinked="1"/>
        <c:tickLblPos val="nextTo"/>
        <c:txPr>
          <a:bodyPr/>
          <a:lstStyle/>
          <a:p>
            <a:pPr>
              <a:defRPr lang="ja-JP"/>
            </a:pPr>
            <a:endParaRPr lang="en-US"/>
          </a:p>
        </c:txPr>
        <c:crossAx val="51355008"/>
        <c:crosses val="autoZero"/>
        <c:auto val="1"/>
        <c:lblAlgn val="ctr"/>
        <c:lblOffset val="100"/>
      </c:catAx>
      <c:valAx>
        <c:axId val="51355008"/>
        <c:scaling>
          <c:orientation val="minMax"/>
        </c:scaling>
        <c:axPos val="l"/>
        <c:majorGridlines/>
        <c:numFmt formatCode="#,##0_);[Red]\(#,##0\)" sourceLinked="1"/>
        <c:tickLblPos val="nextTo"/>
        <c:txPr>
          <a:bodyPr/>
          <a:lstStyle/>
          <a:p>
            <a:pPr>
              <a:defRPr lang="ja-JP"/>
            </a:pPr>
            <a:endParaRPr lang="en-US"/>
          </a:p>
        </c:txPr>
        <c:crossAx val="51353472"/>
        <c:crosses val="autoZero"/>
        <c:crossBetween val="between"/>
      </c:valAx>
      <c:spPr>
        <a:noFill/>
        <a:ln w="25400">
          <a:noFill/>
        </a:ln>
      </c:spPr>
    </c:plotArea>
    <c:legend>
      <c:legendPos val="r"/>
      <c:layout>
        <c:manualLayout>
          <c:xMode val="edge"/>
          <c:yMode val="edge"/>
          <c:wMode val="edge"/>
          <c:hMode val="edge"/>
          <c:x val="0.6930470741517023"/>
          <c:y val="0.5"/>
          <c:w val="0.97841953209086274"/>
          <c:h val="0.65730337078651691"/>
        </c:manualLayout>
      </c:layout>
      <c:txPr>
        <a:bodyPr/>
        <a:lstStyle/>
        <a:p>
          <a:pPr>
            <a:defRPr lang="ja-JP"/>
          </a:pPr>
          <a:endParaRPr lang="en-US"/>
        </a:p>
      </c:txPr>
    </c:legend>
    <c:plotVisOnly val="1"/>
    <c:dispBlanksAs val="gap"/>
  </c:chart>
  <c:printSettings>
    <c:headerFooter/>
    <c:pageMargins b="0.75000000000001088" l="0.70000000000000062" r="0.70000000000000062" t="0.750000000000010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1200150</xdr:colOff>
      <xdr:row>1</xdr:row>
      <xdr:rowOff>790575</xdr:rowOff>
    </xdr:from>
    <xdr:to>
      <xdr:col>1</xdr:col>
      <xdr:colOff>1762125</xdr:colOff>
      <xdr:row>3</xdr:row>
      <xdr:rowOff>133350</xdr:rowOff>
    </xdr:to>
    <xdr:pic>
      <xdr:nvPicPr>
        <xdr:cNvPr id="2049" name="Picture 2" descr="F:\n-ishikawa\Office\logo\ncgm ロゴマーク\ロゴマーク\jpg\ロゴ縦.jpg"/>
        <xdr:cNvPicPr>
          <a:picLocks noChangeAspect="1" noChangeArrowheads="1"/>
        </xdr:cNvPicPr>
      </xdr:nvPicPr>
      <xdr:blipFill>
        <a:blip xmlns:r="http://schemas.openxmlformats.org/officeDocument/2006/relationships" r:embed="rId1" cstate="print"/>
        <a:srcRect/>
        <a:stretch>
          <a:fillRect/>
        </a:stretch>
      </xdr:blipFill>
      <xdr:spPr bwMode="auto">
        <a:xfrm>
          <a:off x="1800225" y="1600200"/>
          <a:ext cx="561975" cy="609600"/>
        </a:xfrm>
        <a:prstGeom prst="rect">
          <a:avLst/>
        </a:prstGeom>
        <a:noFill/>
        <a:ln w="9525">
          <a:noFill/>
          <a:miter lim="800000"/>
          <a:headEnd/>
          <a:tailEnd/>
        </a:ln>
      </xdr:spPr>
    </xdr:pic>
    <xdr:clientData/>
  </xdr:twoCellAnchor>
  <xdr:twoCellAnchor>
    <xdr:from>
      <xdr:col>1</xdr:col>
      <xdr:colOff>8448675</xdr:colOff>
      <xdr:row>2</xdr:row>
      <xdr:rowOff>66675</xdr:rowOff>
    </xdr:from>
    <xdr:to>
      <xdr:col>1</xdr:col>
      <xdr:colOff>9448800</xdr:colOff>
      <xdr:row>3</xdr:row>
      <xdr:rowOff>600075</xdr:rowOff>
    </xdr:to>
    <xdr:pic>
      <xdr:nvPicPr>
        <xdr:cNvPr id="2050"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9048750" y="1695450"/>
          <a:ext cx="1000125" cy="981075"/>
        </a:xfrm>
        <a:prstGeom prst="rect">
          <a:avLst/>
        </a:prstGeom>
        <a:noFill/>
        <a:ln w="9525">
          <a:noFill/>
          <a:miter lim="800000"/>
          <a:headEnd/>
          <a:tailEnd/>
        </a:ln>
      </xdr:spPr>
    </xdr:pic>
    <xdr:clientData/>
  </xdr:twoCellAnchor>
  <xdr:twoCellAnchor>
    <xdr:from>
      <xdr:col>1</xdr:col>
      <xdr:colOff>1733550</xdr:colOff>
      <xdr:row>3</xdr:row>
      <xdr:rowOff>447675</xdr:rowOff>
    </xdr:from>
    <xdr:to>
      <xdr:col>1</xdr:col>
      <xdr:colOff>2876550</xdr:colOff>
      <xdr:row>3</xdr:row>
      <xdr:rowOff>819150</xdr:rowOff>
    </xdr:to>
    <xdr:pic>
      <xdr:nvPicPr>
        <xdr:cNvPr id="2051" name="Picture 20"/>
        <xdr:cNvPicPr>
          <a:picLocks noChangeAspect="1" noChangeArrowheads="1"/>
        </xdr:cNvPicPr>
      </xdr:nvPicPr>
      <xdr:blipFill>
        <a:blip xmlns:r="http://schemas.openxmlformats.org/officeDocument/2006/relationships" r:embed="rId3" cstate="print"/>
        <a:srcRect/>
        <a:stretch>
          <a:fillRect/>
        </a:stretch>
      </xdr:blipFill>
      <xdr:spPr bwMode="auto">
        <a:xfrm>
          <a:off x="2333625" y="2524125"/>
          <a:ext cx="1143000" cy="371475"/>
        </a:xfrm>
        <a:prstGeom prst="rect">
          <a:avLst/>
        </a:prstGeom>
        <a:noFill/>
        <a:ln w="9525">
          <a:noFill/>
          <a:miter lim="800000"/>
          <a:headEnd/>
          <a:tailEnd/>
        </a:ln>
      </xdr:spPr>
    </xdr:pic>
    <xdr:clientData/>
  </xdr:twoCellAnchor>
  <xdr:twoCellAnchor>
    <xdr:from>
      <xdr:col>1</xdr:col>
      <xdr:colOff>95250</xdr:colOff>
      <xdr:row>3</xdr:row>
      <xdr:rowOff>304800</xdr:rowOff>
    </xdr:from>
    <xdr:to>
      <xdr:col>1</xdr:col>
      <xdr:colOff>1447800</xdr:colOff>
      <xdr:row>3</xdr:row>
      <xdr:rowOff>847725</xdr:rowOff>
    </xdr:to>
    <xdr:pic>
      <xdr:nvPicPr>
        <xdr:cNvPr id="2052" name="Picture 6" descr="standard ENG"/>
        <xdr:cNvPicPr>
          <a:picLocks noChangeAspect="1" noChangeArrowheads="1"/>
        </xdr:cNvPicPr>
      </xdr:nvPicPr>
      <xdr:blipFill>
        <a:blip xmlns:r="http://schemas.openxmlformats.org/officeDocument/2006/relationships" r:embed="rId4" cstate="print"/>
        <a:srcRect/>
        <a:stretch>
          <a:fillRect/>
        </a:stretch>
      </xdr:blipFill>
      <xdr:spPr bwMode="auto">
        <a:xfrm>
          <a:off x="695325" y="2381250"/>
          <a:ext cx="1352550"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3352800</xdr:colOff>
      <xdr:row>0</xdr:row>
      <xdr:rowOff>57150</xdr:rowOff>
    </xdr:from>
    <xdr:to>
      <xdr:col>2</xdr:col>
      <xdr:colOff>3352800</xdr:colOff>
      <xdr:row>0</xdr:row>
      <xdr:rowOff>171450</xdr:rowOff>
    </xdr:to>
    <xdr:pic>
      <xdr:nvPicPr>
        <xdr:cNvPr id="3073" name="Picture 2" descr="F:\n-ishikawa\Office\logo\ncgm ロゴマーク\ロゴマーク\jpg\ロゴ縦.jpg"/>
        <xdr:cNvPicPr>
          <a:picLocks noChangeAspect="1" noChangeArrowheads="1"/>
        </xdr:cNvPicPr>
      </xdr:nvPicPr>
      <xdr:blipFill>
        <a:blip xmlns:r="http://schemas.openxmlformats.org/officeDocument/2006/relationships" r:embed="rId1"/>
        <a:srcRect/>
        <a:stretch>
          <a:fillRect/>
        </a:stretch>
      </xdr:blipFill>
      <xdr:spPr bwMode="auto">
        <a:xfrm>
          <a:off x="8382000" y="57150"/>
          <a:ext cx="0" cy="114300"/>
        </a:xfrm>
        <a:prstGeom prst="rect">
          <a:avLst/>
        </a:prstGeom>
        <a:noFill/>
        <a:ln w="9525">
          <a:noFill/>
          <a:miter lim="800000"/>
          <a:headEnd/>
          <a:tailEnd/>
        </a:ln>
      </xdr:spPr>
    </xdr:pic>
    <xdr:clientData/>
  </xdr:twoCellAnchor>
  <xdr:twoCellAnchor editAs="oneCell">
    <xdr:from>
      <xdr:col>2</xdr:col>
      <xdr:colOff>4086225</xdr:colOff>
      <xdr:row>1</xdr:row>
      <xdr:rowOff>1057275</xdr:rowOff>
    </xdr:from>
    <xdr:to>
      <xdr:col>2</xdr:col>
      <xdr:colOff>4086225</xdr:colOff>
      <xdr:row>1</xdr:row>
      <xdr:rowOff>1057275</xdr:rowOff>
    </xdr:to>
    <xdr:pic>
      <xdr:nvPicPr>
        <xdr:cNvPr id="3074" name="Picture 2" descr="F:\n-ishikawa\Office\logo\ncgm ロゴマーク\ロゴマーク\jpg\ロゴ縦.jpg"/>
        <xdr:cNvPicPr>
          <a:picLocks noChangeAspect="1" noChangeArrowheads="1"/>
        </xdr:cNvPicPr>
      </xdr:nvPicPr>
      <xdr:blipFill>
        <a:blip xmlns:r="http://schemas.openxmlformats.org/officeDocument/2006/relationships" r:embed="rId1"/>
        <a:srcRect/>
        <a:stretch>
          <a:fillRect/>
        </a:stretch>
      </xdr:blipFill>
      <xdr:spPr bwMode="auto">
        <a:xfrm>
          <a:off x="9115425" y="1409700"/>
          <a:ext cx="0" cy="0"/>
        </a:xfrm>
        <a:prstGeom prst="rect">
          <a:avLst/>
        </a:prstGeom>
        <a:noFill/>
        <a:ln w="9525">
          <a:noFill/>
          <a:miter lim="800000"/>
          <a:headEnd/>
          <a:tailEnd/>
        </a:ln>
      </xdr:spPr>
    </xdr:pic>
    <xdr:clientData/>
  </xdr:twoCellAnchor>
  <xdr:twoCellAnchor editAs="oneCell">
    <xdr:from>
      <xdr:col>2</xdr:col>
      <xdr:colOff>3352800</xdr:colOff>
      <xdr:row>0</xdr:row>
      <xdr:rowOff>57150</xdr:rowOff>
    </xdr:from>
    <xdr:to>
      <xdr:col>2</xdr:col>
      <xdr:colOff>3352800</xdr:colOff>
      <xdr:row>0</xdr:row>
      <xdr:rowOff>171450</xdr:rowOff>
    </xdr:to>
    <xdr:pic>
      <xdr:nvPicPr>
        <xdr:cNvPr id="3075" name="Picture 2" descr="F:\n-ishikawa\Office\logo\ncgm ロゴマーク\ロゴマーク\jpg\ロゴ縦.jpg"/>
        <xdr:cNvPicPr>
          <a:picLocks noChangeAspect="1" noChangeArrowheads="1"/>
        </xdr:cNvPicPr>
      </xdr:nvPicPr>
      <xdr:blipFill>
        <a:blip xmlns:r="http://schemas.openxmlformats.org/officeDocument/2006/relationships" r:embed="rId1"/>
        <a:srcRect/>
        <a:stretch>
          <a:fillRect/>
        </a:stretch>
      </xdr:blipFill>
      <xdr:spPr bwMode="auto">
        <a:xfrm>
          <a:off x="8382000" y="57150"/>
          <a:ext cx="0" cy="114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438150</xdr:colOff>
      <xdr:row>2</xdr:row>
      <xdr:rowOff>114300</xdr:rowOff>
    </xdr:from>
    <xdr:to>
      <xdr:col>14</xdr:col>
      <xdr:colOff>209550</xdr:colOff>
      <xdr:row>14</xdr:row>
      <xdr:rowOff>152400</xdr:rowOff>
    </xdr:to>
    <xdr:graphicFrame macro="">
      <xdr:nvGraphicFramePr>
        <xdr:cNvPr id="409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457200</xdr:colOff>
      <xdr:row>15</xdr:row>
      <xdr:rowOff>161925</xdr:rowOff>
    </xdr:from>
    <xdr:to>
      <xdr:col>14</xdr:col>
      <xdr:colOff>228600</xdr:colOff>
      <xdr:row>28</xdr:row>
      <xdr:rowOff>142875</xdr:rowOff>
    </xdr:to>
    <xdr:graphicFrame macro="">
      <xdr:nvGraphicFramePr>
        <xdr:cNvPr id="409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485775</xdr:colOff>
      <xdr:row>29</xdr:row>
      <xdr:rowOff>171450</xdr:rowOff>
    </xdr:from>
    <xdr:to>
      <xdr:col>14</xdr:col>
      <xdr:colOff>257175</xdr:colOff>
      <xdr:row>43</xdr:row>
      <xdr:rowOff>76200</xdr:rowOff>
    </xdr:to>
    <xdr:graphicFrame macro="">
      <xdr:nvGraphicFramePr>
        <xdr:cNvPr id="4099"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514350</xdr:colOff>
      <xdr:row>44</xdr:row>
      <xdr:rowOff>123825</xdr:rowOff>
    </xdr:from>
    <xdr:to>
      <xdr:col>14</xdr:col>
      <xdr:colOff>285750</xdr:colOff>
      <xdr:row>58</xdr:row>
      <xdr:rowOff>76200</xdr:rowOff>
    </xdr:to>
    <xdr:graphicFrame macro="">
      <xdr:nvGraphicFramePr>
        <xdr:cNvPr id="4100"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22"/>
  </sheetPr>
  <dimension ref="B1:F69"/>
  <sheetViews>
    <sheetView showGridLines="0" tabSelected="1" topLeftCell="B1" zoomScaleNormal="100" workbookViewId="0">
      <selection activeCell="D7" sqref="D7"/>
    </sheetView>
  </sheetViews>
  <sheetFormatPr defaultColWidth="9" defaultRowHeight="14.25"/>
  <cols>
    <col min="1" max="1" width="9" style="1"/>
    <col min="2" max="2" width="143.85546875" style="1" customWidth="1"/>
    <col min="3" max="16384" width="9" style="1"/>
  </cols>
  <sheetData>
    <row r="1" spans="2:6" ht="63.75" customHeight="1"/>
    <row r="2" spans="2:6" ht="64.5" customHeight="1">
      <c r="B2" s="223" t="s">
        <v>273</v>
      </c>
      <c r="C2" s="38"/>
      <c r="D2" s="38"/>
      <c r="E2" s="38"/>
    </row>
    <row r="3" spans="2:6" ht="35.25" customHeight="1">
      <c r="B3" s="268" t="s">
        <v>223</v>
      </c>
      <c r="C3" s="39"/>
      <c r="D3" s="39"/>
      <c r="E3" s="39"/>
    </row>
    <row r="4" spans="2:6" ht="76.5" customHeight="1">
      <c r="B4" s="281"/>
      <c r="C4" s="2"/>
      <c r="D4" s="2"/>
      <c r="E4" s="2"/>
    </row>
    <row r="5" spans="2:6" ht="78.75" customHeight="1">
      <c r="B5" s="359" t="s">
        <v>180</v>
      </c>
      <c r="C5" s="2"/>
      <c r="D5" s="2"/>
      <c r="E5" s="2"/>
    </row>
    <row r="6" spans="2:6" ht="108.75" customHeight="1">
      <c r="B6" s="337" t="s">
        <v>247</v>
      </c>
      <c r="C6" s="37"/>
      <c r="D6" s="37"/>
      <c r="E6" s="37"/>
      <c r="F6" s="36"/>
    </row>
    <row r="7" spans="2:6" ht="44.25" customHeight="1">
      <c r="B7" s="281" t="s">
        <v>248</v>
      </c>
      <c r="C7" s="37"/>
      <c r="D7" s="37"/>
      <c r="E7" s="37"/>
      <c r="F7" s="36"/>
    </row>
    <row r="8" spans="2:6" ht="47.25" customHeight="1">
      <c r="B8" s="338" t="s">
        <v>257</v>
      </c>
      <c r="C8" s="37"/>
      <c r="D8" s="37"/>
      <c r="E8" s="37"/>
      <c r="F8" s="36"/>
    </row>
    <row r="9" spans="2:6" s="3" customFormat="1" ht="35.25" customHeight="1" thickBot="1">
      <c r="B9" s="50" t="s">
        <v>258</v>
      </c>
      <c r="C9" s="36"/>
      <c r="D9" s="36"/>
      <c r="E9" s="36"/>
      <c r="F9" s="36"/>
    </row>
    <row r="10" spans="2:6" s="3" customFormat="1" ht="19.5" thickTop="1">
      <c r="B10" s="297" t="s">
        <v>224</v>
      </c>
      <c r="C10" s="36"/>
      <c r="D10" s="36"/>
      <c r="E10" s="36"/>
      <c r="F10" s="36"/>
    </row>
    <row r="11" spans="2:6" s="3" customFormat="1" ht="20.100000000000001" customHeight="1">
      <c r="B11" s="298" t="s">
        <v>259</v>
      </c>
      <c r="C11" s="40"/>
      <c r="D11" s="40"/>
      <c r="E11" s="36"/>
      <c r="F11" s="36"/>
    </row>
    <row r="12" spans="2:6" s="3" customFormat="1" ht="20.100000000000001" customHeight="1">
      <c r="B12" s="299" t="s">
        <v>260</v>
      </c>
      <c r="C12" s="41"/>
      <c r="D12" s="41"/>
      <c r="E12" s="36"/>
      <c r="F12" s="36"/>
    </row>
    <row r="13" spans="2:6" s="3" customFormat="1" ht="20.100000000000001" customHeight="1">
      <c r="B13" s="300" t="s">
        <v>261</v>
      </c>
      <c r="C13" s="41"/>
      <c r="D13" s="41"/>
      <c r="E13" s="36"/>
      <c r="F13" s="36"/>
    </row>
    <row r="14" spans="2:6" s="3" customFormat="1" ht="20.100000000000001" customHeight="1">
      <c r="B14" s="301" t="s">
        <v>262</v>
      </c>
      <c r="C14" s="41"/>
      <c r="D14" s="41"/>
      <c r="E14" s="36"/>
      <c r="F14" s="36"/>
    </row>
    <row r="15" spans="2:6" s="3" customFormat="1" ht="20.100000000000001" customHeight="1">
      <c r="B15" s="302" t="s">
        <v>263</v>
      </c>
      <c r="C15" s="41"/>
      <c r="D15" s="41"/>
      <c r="E15" s="36"/>
      <c r="F15" s="36"/>
    </row>
    <row r="16" spans="2:6" s="3" customFormat="1" ht="20.100000000000001" customHeight="1">
      <c r="B16" s="303" t="s">
        <v>264</v>
      </c>
      <c r="C16" s="41"/>
      <c r="D16" s="41"/>
      <c r="E16" s="36"/>
      <c r="F16" s="36"/>
    </row>
    <row r="17" spans="2:6" s="3" customFormat="1" ht="20.100000000000001" customHeight="1">
      <c r="B17" s="255" t="s">
        <v>265</v>
      </c>
      <c r="C17" s="41"/>
      <c r="D17" s="41"/>
      <c r="E17" s="36"/>
      <c r="F17" s="36"/>
    </row>
    <row r="18" spans="2:6" s="3" customFormat="1" ht="20.100000000000001" customHeight="1">
      <c r="B18" s="304" t="s">
        <v>266</v>
      </c>
      <c r="C18" s="41"/>
      <c r="D18" s="41"/>
      <c r="E18" s="36"/>
      <c r="F18" s="36"/>
    </row>
    <row r="19" spans="2:6" s="3" customFormat="1" ht="20.100000000000001" customHeight="1" thickBot="1">
      <c r="B19" s="305" t="s">
        <v>411</v>
      </c>
      <c r="C19" s="41"/>
      <c r="D19" s="41"/>
      <c r="E19" s="36"/>
      <c r="F19" s="36"/>
    </row>
    <row r="20" spans="2:6" s="3" customFormat="1" ht="23.25" customHeight="1" thickTop="1">
      <c r="B20" s="306"/>
      <c r="C20" s="41"/>
      <c r="D20" s="41"/>
      <c r="E20" s="36"/>
      <c r="F20" s="36"/>
    </row>
    <row r="21" spans="2:6" ht="32.25" customHeight="1">
      <c r="B21" s="381" t="s">
        <v>225</v>
      </c>
      <c r="C21" s="381"/>
      <c r="D21" s="381"/>
      <c r="E21" s="381"/>
      <c r="F21" s="36"/>
    </row>
    <row r="22" spans="2:6" ht="120.75" customHeight="1">
      <c r="B22" s="51" t="s">
        <v>250</v>
      </c>
      <c r="C22" s="37"/>
      <c r="D22" s="37"/>
      <c r="E22" s="37"/>
      <c r="F22" s="37"/>
    </row>
    <row r="23" spans="2:6" ht="105.75" customHeight="1" thickBot="1">
      <c r="B23" s="360" t="s">
        <v>249</v>
      </c>
      <c r="C23" s="339"/>
      <c r="D23" s="339"/>
      <c r="E23" s="339"/>
      <c r="F23" s="37"/>
    </row>
    <row r="24" spans="2:6" ht="24" customHeight="1" thickTop="1">
      <c r="B24" s="47" t="s">
        <v>226</v>
      </c>
      <c r="C24" s="340"/>
      <c r="D24" s="340"/>
      <c r="E24" s="340"/>
      <c r="F24" s="37"/>
    </row>
    <row r="25" spans="2:6" ht="23.85" customHeight="1">
      <c r="B25" s="344" t="s">
        <v>227</v>
      </c>
      <c r="C25" s="37"/>
      <c r="D25" s="37"/>
      <c r="E25" s="37"/>
      <c r="F25" s="37"/>
    </row>
    <row r="26" spans="2:6" ht="23.85" customHeight="1">
      <c r="B26" s="344" t="s">
        <v>228</v>
      </c>
      <c r="C26" s="37"/>
      <c r="D26" s="37"/>
      <c r="E26" s="37"/>
      <c r="F26" s="37"/>
    </row>
    <row r="27" spans="2:6" ht="23.85" customHeight="1">
      <c r="B27" s="344" t="s">
        <v>229</v>
      </c>
      <c r="C27" s="37"/>
      <c r="D27" s="37"/>
      <c r="E27" s="37"/>
      <c r="F27" s="37"/>
    </row>
    <row r="28" spans="2:6" ht="23.85" customHeight="1">
      <c r="B28" s="344" t="s">
        <v>230</v>
      </c>
      <c r="C28" s="37"/>
      <c r="D28" s="37"/>
      <c r="E28" s="37"/>
      <c r="F28" s="37"/>
    </row>
    <row r="29" spans="2:6" ht="35.25" customHeight="1">
      <c r="B29" s="345" t="s">
        <v>449</v>
      </c>
      <c r="C29" s="37"/>
      <c r="D29" s="37"/>
      <c r="E29" s="37"/>
      <c r="F29" s="37"/>
    </row>
    <row r="30" spans="2:6" ht="34.5" customHeight="1">
      <c r="B30" s="345" t="s">
        <v>231</v>
      </c>
      <c r="C30" s="37"/>
      <c r="D30" s="37"/>
      <c r="E30" s="37"/>
      <c r="F30" s="37"/>
    </row>
    <row r="31" spans="2:6" ht="34.5" customHeight="1">
      <c r="B31" s="344" t="s">
        <v>232</v>
      </c>
      <c r="C31" s="37"/>
      <c r="D31" s="37"/>
      <c r="E31" s="37"/>
      <c r="F31" s="37"/>
    </row>
    <row r="32" spans="2:6" ht="23.85" customHeight="1">
      <c r="B32" s="344" t="s">
        <v>450</v>
      </c>
      <c r="C32" s="37"/>
      <c r="D32" s="37"/>
      <c r="E32" s="37"/>
      <c r="F32" s="37"/>
    </row>
    <row r="33" spans="2:6" ht="23.85" customHeight="1">
      <c r="B33" s="344" t="s">
        <v>233</v>
      </c>
      <c r="C33" s="40"/>
      <c r="D33" s="40"/>
      <c r="E33" s="40"/>
      <c r="F33" s="42"/>
    </row>
    <row r="34" spans="2:6" ht="23.85" customHeight="1">
      <c r="B34" s="345" t="s">
        <v>438</v>
      </c>
      <c r="C34" s="43"/>
      <c r="D34" s="43"/>
      <c r="E34" s="43"/>
      <c r="F34" s="42"/>
    </row>
    <row r="35" spans="2:6" ht="23.85" customHeight="1">
      <c r="B35" s="344" t="s">
        <v>234</v>
      </c>
      <c r="C35" s="43"/>
      <c r="D35" s="43"/>
      <c r="E35" s="43"/>
      <c r="F35" s="42"/>
    </row>
    <row r="36" spans="2:6" ht="23.85" customHeight="1">
      <c r="B36" s="345" t="s">
        <v>235</v>
      </c>
      <c r="C36" s="43"/>
      <c r="D36" s="43"/>
      <c r="E36" s="43"/>
      <c r="F36" s="42"/>
    </row>
    <row r="37" spans="2:6" ht="23.85" customHeight="1">
      <c r="B37" s="345" t="s">
        <v>236</v>
      </c>
      <c r="C37" s="43"/>
      <c r="D37" s="43"/>
      <c r="E37" s="43"/>
      <c r="F37" s="42"/>
    </row>
    <row r="38" spans="2:6" ht="23.85" customHeight="1">
      <c r="B38" s="345" t="s">
        <v>238</v>
      </c>
      <c r="C38" s="43"/>
      <c r="D38" s="43"/>
      <c r="E38" s="43"/>
      <c r="F38" s="42"/>
    </row>
    <row r="39" spans="2:6" ht="23.85" customHeight="1">
      <c r="B39" s="345" t="s">
        <v>239</v>
      </c>
      <c r="C39" s="43"/>
      <c r="D39" s="43"/>
      <c r="E39" s="43"/>
      <c r="F39" s="42"/>
    </row>
    <row r="40" spans="2:6" ht="23.85" customHeight="1">
      <c r="B40" s="345" t="s">
        <v>240</v>
      </c>
      <c r="C40" s="43"/>
      <c r="D40" s="43"/>
      <c r="E40" s="43"/>
      <c r="F40" s="42"/>
    </row>
    <row r="41" spans="2:6" ht="23.85" customHeight="1">
      <c r="B41" s="345" t="s">
        <v>274</v>
      </c>
      <c r="C41" s="43"/>
      <c r="D41" s="43"/>
      <c r="E41" s="43"/>
      <c r="F41" s="42"/>
    </row>
    <row r="42" spans="2:6" ht="23.85" customHeight="1">
      <c r="B42" s="345" t="s">
        <v>275</v>
      </c>
      <c r="C42" s="43"/>
      <c r="D42" s="43"/>
      <c r="E42" s="43"/>
      <c r="F42" s="42"/>
    </row>
    <row r="43" spans="2:6" ht="23.85" customHeight="1">
      <c r="B43" s="345" t="s">
        <v>241</v>
      </c>
      <c r="C43" s="43"/>
      <c r="D43" s="43"/>
      <c r="E43" s="43"/>
      <c r="F43" s="42"/>
    </row>
    <row r="44" spans="2:6" ht="23.85" customHeight="1" thickBot="1">
      <c r="B44" s="346" t="s">
        <v>276</v>
      </c>
      <c r="C44" s="36"/>
      <c r="D44" s="36"/>
      <c r="E44" s="36"/>
      <c r="F44" s="36"/>
    </row>
    <row r="45" spans="2:6" ht="15.75" customHeight="1" thickTop="1" thickBot="1">
      <c r="B45" s="36"/>
      <c r="C45" s="36"/>
      <c r="D45" s="36"/>
      <c r="E45" s="36"/>
      <c r="F45" s="36"/>
    </row>
    <row r="46" spans="2:6" ht="20.25" customHeight="1" thickTop="1">
      <c r="B46" s="48" t="s">
        <v>242</v>
      </c>
      <c r="C46" s="45"/>
      <c r="D46" s="45"/>
      <c r="E46" s="45"/>
      <c r="F46" s="36"/>
    </row>
    <row r="47" spans="2:6" ht="52.5" customHeight="1">
      <c r="B47" s="347" t="s">
        <v>277</v>
      </c>
      <c r="C47" s="46"/>
      <c r="D47" s="46"/>
      <c r="E47" s="46"/>
      <c r="F47" s="36"/>
    </row>
    <row r="48" spans="2:6" ht="34.5" customHeight="1">
      <c r="B48" s="347" t="s">
        <v>243</v>
      </c>
      <c r="C48" s="46"/>
      <c r="D48" s="46"/>
      <c r="E48" s="46"/>
      <c r="F48" s="36"/>
    </row>
    <row r="49" spans="2:6" ht="20.100000000000001" customHeight="1">
      <c r="B49" s="348" t="s">
        <v>244</v>
      </c>
      <c r="C49" s="46"/>
      <c r="D49" s="46"/>
      <c r="E49" s="46"/>
      <c r="F49" s="36"/>
    </row>
    <row r="50" spans="2:6" ht="20.100000000000001" customHeight="1">
      <c r="B50" s="348" t="s">
        <v>245</v>
      </c>
      <c r="C50" s="46"/>
      <c r="D50" s="46"/>
      <c r="E50" s="46"/>
      <c r="F50" s="36"/>
    </row>
    <row r="51" spans="2:6" ht="37.5" customHeight="1">
      <c r="B51" s="347" t="s">
        <v>246</v>
      </c>
      <c r="C51" s="46"/>
      <c r="D51" s="46"/>
      <c r="E51" s="46"/>
      <c r="F51" s="36"/>
    </row>
    <row r="52" spans="2:6" ht="20.100000000000001" customHeight="1">
      <c r="B52" s="347" t="s">
        <v>253</v>
      </c>
      <c r="C52" s="46"/>
      <c r="D52" s="46"/>
      <c r="E52" s="46"/>
      <c r="F52" s="36"/>
    </row>
    <row r="53" spans="2:6" ht="20.100000000000001" customHeight="1">
      <c r="B53" s="348" t="s">
        <v>254</v>
      </c>
      <c r="C53" s="46"/>
      <c r="D53" s="46"/>
      <c r="E53" s="46"/>
      <c r="F53" s="36"/>
    </row>
    <row r="54" spans="2:6" ht="20.100000000000001" customHeight="1" thickBot="1">
      <c r="B54" s="349" t="s">
        <v>255</v>
      </c>
      <c r="C54" s="46"/>
      <c r="D54" s="46"/>
      <c r="E54" s="46"/>
      <c r="F54" s="36"/>
    </row>
    <row r="55" spans="2:6" ht="16.5" thickTop="1">
      <c r="B55" s="49" t="s">
        <v>256</v>
      </c>
      <c r="C55" s="36"/>
      <c r="D55" s="36"/>
      <c r="E55" s="36"/>
      <c r="F55" s="36"/>
    </row>
    <row r="56" spans="2:6" ht="15.75">
      <c r="B56" s="36"/>
      <c r="C56" s="36"/>
      <c r="D56" s="36"/>
      <c r="E56" s="36"/>
      <c r="F56" s="36"/>
    </row>
    <row r="57" spans="2:6" ht="15.75">
      <c r="B57" s="36"/>
      <c r="C57" s="36"/>
      <c r="D57" s="36"/>
      <c r="E57" s="36"/>
      <c r="F57" s="36"/>
    </row>
    <row r="58" spans="2:6" ht="15.75">
      <c r="B58" s="36"/>
      <c r="C58" s="36"/>
      <c r="D58" s="36"/>
      <c r="E58" s="36"/>
      <c r="F58" s="36"/>
    </row>
    <row r="59" spans="2:6" ht="15.75">
      <c r="B59" s="36"/>
      <c r="C59" s="36"/>
      <c r="D59" s="36"/>
      <c r="E59" s="36"/>
      <c r="F59" s="36"/>
    </row>
    <row r="60" spans="2:6" ht="15.75">
      <c r="B60" s="36"/>
      <c r="C60" s="36"/>
      <c r="D60" s="36"/>
      <c r="E60" s="36"/>
      <c r="F60" s="36"/>
    </row>
    <row r="61" spans="2:6" ht="15.75">
      <c r="B61" s="36"/>
      <c r="C61" s="36"/>
      <c r="D61" s="36"/>
      <c r="E61" s="36"/>
      <c r="F61" s="36"/>
    </row>
    <row r="62" spans="2:6" ht="15.75">
      <c r="B62" s="36"/>
      <c r="C62" s="36"/>
      <c r="D62" s="36"/>
      <c r="E62" s="36"/>
      <c r="F62" s="36"/>
    </row>
    <row r="63" spans="2:6" ht="15.75">
      <c r="B63" s="36"/>
      <c r="C63" s="36"/>
      <c r="D63" s="36"/>
      <c r="E63" s="36"/>
      <c r="F63" s="36"/>
    </row>
    <row r="64" spans="2:6" ht="15.75">
      <c r="B64" s="36"/>
      <c r="C64" s="36"/>
      <c r="D64" s="36"/>
      <c r="E64" s="36"/>
      <c r="F64" s="36"/>
    </row>
    <row r="65" spans="2:6" ht="15.75">
      <c r="B65" s="36"/>
      <c r="C65" s="36"/>
      <c r="D65" s="36"/>
      <c r="E65" s="36"/>
      <c r="F65" s="36"/>
    </row>
    <row r="66" spans="2:6" ht="15.75">
      <c r="B66" s="36"/>
      <c r="C66" s="36"/>
      <c r="D66" s="36"/>
      <c r="E66" s="36"/>
      <c r="F66" s="36"/>
    </row>
    <row r="67" spans="2:6" ht="15.75">
      <c r="B67" s="36"/>
      <c r="C67" s="36"/>
      <c r="D67" s="36"/>
      <c r="E67" s="36"/>
      <c r="F67" s="36"/>
    </row>
    <row r="68" spans="2:6" ht="15.75">
      <c r="B68" s="36"/>
      <c r="C68" s="36"/>
      <c r="D68" s="36"/>
      <c r="E68" s="36"/>
      <c r="F68" s="36"/>
    </row>
    <row r="69" spans="2:6" ht="15.75">
      <c r="B69" s="36"/>
      <c r="C69" s="36"/>
      <c r="D69" s="36"/>
      <c r="E69" s="36"/>
      <c r="F69" s="36"/>
    </row>
  </sheetData>
  <mergeCells count="1">
    <mergeCell ref="B21:E21"/>
  </mergeCells>
  <phoneticPr fontId="3"/>
  <pageMargins left="0.70866141732283472" right="0.70866141732283472" top="0.35" bottom="0.74803149606299213" header="0.31496062992125984" footer="0.31496062992125984"/>
  <pageSetup scale="80" fitToHeight="0" orientation="portrait" horizontalDpi="4294967293" verticalDpi="4294967293" r:id="rId1"/>
  <headerFooter alignWithMargins="0"/>
  <drawing r:id="rId2"/>
</worksheet>
</file>

<file path=xl/worksheets/sheet10.xml><?xml version="1.0" encoding="utf-8"?>
<worksheet xmlns="http://schemas.openxmlformats.org/spreadsheetml/2006/main" xmlns:r="http://schemas.openxmlformats.org/officeDocument/2006/relationships">
  <sheetPr enableFormatConditionsCalculation="0">
    <tabColor indexed="46"/>
  </sheetPr>
  <dimension ref="A1:O47"/>
  <sheetViews>
    <sheetView workbookViewId="0">
      <selection activeCell="C25" sqref="C25"/>
    </sheetView>
  </sheetViews>
  <sheetFormatPr defaultRowHeight="15"/>
  <cols>
    <col min="1" max="1" width="3.85546875" customWidth="1"/>
    <col min="2" max="2" width="11.7109375" customWidth="1"/>
    <col min="3" max="3" width="119.7109375" customWidth="1"/>
  </cols>
  <sheetData>
    <row r="1" spans="1:15" s="291" customFormat="1" ht="6.75" customHeight="1" thickBot="1"/>
    <row r="2" spans="1:15" ht="30" customHeight="1" thickBot="1">
      <c r="A2" s="291"/>
      <c r="B2" s="446" t="s">
        <v>237</v>
      </c>
      <c r="C2" s="447"/>
      <c r="D2" s="291"/>
      <c r="E2" s="291"/>
      <c r="F2" s="291"/>
      <c r="G2" s="291"/>
      <c r="H2" s="291"/>
      <c r="I2" s="291"/>
      <c r="J2" s="291"/>
      <c r="K2" s="291"/>
      <c r="L2" s="291"/>
      <c r="M2" s="291"/>
      <c r="N2" s="291"/>
      <c r="O2" s="291"/>
    </row>
    <row r="3" spans="1:15" ht="18" customHeight="1">
      <c r="A3" s="291"/>
      <c r="B3" s="363" t="s">
        <v>147</v>
      </c>
      <c r="C3" s="366" t="s">
        <v>421</v>
      </c>
      <c r="D3" s="291"/>
      <c r="E3" s="291"/>
      <c r="F3" s="291"/>
      <c r="G3" s="291"/>
      <c r="H3" s="291"/>
      <c r="I3" s="291"/>
      <c r="J3" s="291"/>
      <c r="K3" s="291"/>
      <c r="L3" s="291"/>
      <c r="M3" s="291"/>
      <c r="N3" s="291"/>
      <c r="O3" s="291"/>
    </row>
    <row r="4" spans="1:15" ht="18" customHeight="1">
      <c r="A4" s="291"/>
      <c r="B4" s="364" t="s">
        <v>148</v>
      </c>
      <c r="C4" s="367" t="s">
        <v>149</v>
      </c>
      <c r="D4" s="291"/>
      <c r="E4" s="291"/>
      <c r="F4" s="291"/>
      <c r="G4" s="291"/>
      <c r="H4" s="291"/>
      <c r="I4" s="291"/>
      <c r="J4" s="291"/>
      <c r="K4" s="291"/>
      <c r="L4" s="291"/>
      <c r="M4" s="291"/>
      <c r="N4" s="291"/>
      <c r="O4" s="291"/>
    </row>
    <row r="5" spans="1:15" ht="18" customHeight="1">
      <c r="A5" s="291"/>
      <c r="B5" s="364" t="s">
        <v>9</v>
      </c>
      <c r="C5" s="367" t="s">
        <v>10</v>
      </c>
      <c r="D5" s="291"/>
      <c r="E5" s="291"/>
      <c r="F5" s="291"/>
      <c r="G5" s="291"/>
      <c r="H5" s="291"/>
      <c r="I5" s="291"/>
      <c r="J5" s="291"/>
      <c r="K5" s="291"/>
      <c r="L5" s="291"/>
      <c r="M5" s="291"/>
      <c r="N5" s="291"/>
      <c r="O5" s="291"/>
    </row>
    <row r="6" spans="1:15" ht="18" customHeight="1">
      <c r="A6" s="291"/>
      <c r="B6" s="364" t="s">
        <v>436</v>
      </c>
      <c r="C6" s="367" t="s">
        <v>426</v>
      </c>
      <c r="D6" s="291"/>
      <c r="E6" s="291"/>
      <c r="F6" s="291"/>
      <c r="G6" s="291"/>
      <c r="H6" s="291"/>
      <c r="I6" s="291"/>
      <c r="J6" s="291"/>
      <c r="K6" s="291"/>
      <c r="L6" s="291"/>
      <c r="M6" s="291"/>
      <c r="N6" s="291"/>
      <c r="O6" s="291"/>
    </row>
    <row r="7" spans="1:15" ht="18" customHeight="1">
      <c r="A7" s="291"/>
      <c r="B7" s="364" t="s">
        <v>150</v>
      </c>
      <c r="C7" s="367" t="s">
        <v>151</v>
      </c>
      <c r="D7" s="291"/>
      <c r="E7" s="291"/>
      <c r="F7" s="291"/>
      <c r="G7" s="291"/>
      <c r="H7" s="291"/>
      <c r="I7" s="291"/>
      <c r="J7" s="291"/>
      <c r="K7" s="291"/>
      <c r="L7" s="291"/>
      <c r="M7" s="291"/>
      <c r="N7" s="291"/>
      <c r="O7" s="291"/>
    </row>
    <row r="8" spans="1:15" ht="18" customHeight="1">
      <c r="A8" s="291"/>
      <c r="B8" s="364" t="s">
        <v>152</v>
      </c>
      <c r="C8" s="367" t="s">
        <v>420</v>
      </c>
      <c r="D8" s="291"/>
      <c r="E8" s="291"/>
      <c r="F8" s="291"/>
      <c r="G8" s="291"/>
      <c r="H8" s="291"/>
      <c r="I8" s="291"/>
      <c r="J8" s="291"/>
      <c r="K8" s="291"/>
      <c r="L8" s="291"/>
      <c r="M8" s="291"/>
      <c r="N8" s="291"/>
      <c r="O8" s="291"/>
    </row>
    <row r="9" spans="1:15" ht="18" customHeight="1">
      <c r="A9" s="291"/>
      <c r="B9" s="364" t="s">
        <v>153</v>
      </c>
      <c r="C9" s="367" t="s">
        <v>5</v>
      </c>
      <c r="D9" s="291"/>
      <c r="E9" s="291"/>
      <c r="F9" s="291"/>
      <c r="G9" s="291"/>
      <c r="H9" s="291"/>
      <c r="I9" s="291"/>
      <c r="J9" s="291"/>
      <c r="K9" s="291"/>
      <c r="L9" s="291"/>
      <c r="M9" s="291"/>
      <c r="N9" s="291"/>
      <c r="O9" s="291"/>
    </row>
    <row r="10" spans="1:15" ht="18" customHeight="1">
      <c r="A10" s="291"/>
      <c r="B10" s="364" t="s">
        <v>154</v>
      </c>
      <c r="C10" s="367" t="s">
        <v>419</v>
      </c>
      <c r="D10" s="291"/>
      <c r="E10" s="291"/>
      <c r="F10" s="291"/>
      <c r="G10" s="291"/>
      <c r="H10" s="291"/>
      <c r="I10" s="291"/>
      <c r="J10" s="291"/>
      <c r="K10" s="291"/>
      <c r="L10" s="291"/>
      <c r="M10" s="291"/>
      <c r="N10" s="291"/>
      <c r="O10" s="291"/>
    </row>
    <row r="11" spans="1:15" ht="18" customHeight="1">
      <c r="A11" s="291"/>
      <c r="B11" s="364" t="s">
        <v>155</v>
      </c>
      <c r="C11" s="367" t="s">
        <v>156</v>
      </c>
      <c r="D11" s="291"/>
      <c r="E11" s="291"/>
      <c r="F11" s="291"/>
      <c r="G11" s="291"/>
      <c r="H11" s="291"/>
      <c r="I11" s="291"/>
      <c r="J11" s="291"/>
      <c r="K11" s="291"/>
      <c r="L11" s="291"/>
      <c r="M11" s="291"/>
      <c r="N11" s="291"/>
      <c r="O11" s="291"/>
    </row>
    <row r="12" spans="1:15" ht="18" customHeight="1">
      <c r="A12" s="291"/>
      <c r="B12" s="364" t="s">
        <v>6</v>
      </c>
      <c r="C12" s="367" t="s">
        <v>7</v>
      </c>
      <c r="D12" s="291"/>
      <c r="E12" s="291"/>
      <c r="F12" s="291"/>
      <c r="G12" s="291"/>
      <c r="H12" s="291"/>
      <c r="I12" s="291"/>
      <c r="J12" s="291"/>
      <c r="K12" s="291"/>
      <c r="L12" s="291"/>
      <c r="M12" s="291"/>
      <c r="N12" s="291"/>
      <c r="O12" s="291"/>
    </row>
    <row r="13" spans="1:15" ht="18" customHeight="1">
      <c r="A13" s="291"/>
      <c r="B13" s="364" t="s">
        <v>157</v>
      </c>
      <c r="C13" s="367" t="s">
        <v>412</v>
      </c>
      <c r="D13" s="291"/>
      <c r="E13" s="291"/>
      <c r="F13" s="291"/>
      <c r="G13" s="291"/>
      <c r="H13" s="291"/>
      <c r="I13" s="291"/>
      <c r="J13" s="291"/>
      <c r="K13" s="291"/>
      <c r="L13" s="291"/>
      <c r="M13" s="291"/>
      <c r="N13" s="291"/>
      <c r="O13" s="291"/>
    </row>
    <row r="14" spans="1:15" ht="18" customHeight="1">
      <c r="A14" s="291"/>
      <c r="B14" s="364" t="s">
        <v>158</v>
      </c>
      <c r="C14" s="367" t="s">
        <v>418</v>
      </c>
      <c r="D14" s="291"/>
      <c r="E14" s="291"/>
      <c r="F14" s="291"/>
      <c r="G14" s="291"/>
      <c r="H14" s="291"/>
      <c r="I14" s="291"/>
      <c r="J14" s="291"/>
      <c r="K14" s="291"/>
      <c r="L14" s="291"/>
      <c r="M14" s="291"/>
      <c r="N14" s="291"/>
      <c r="O14" s="291"/>
    </row>
    <row r="15" spans="1:15" ht="18" customHeight="1">
      <c r="A15" s="291"/>
      <c r="B15" s="364" t="s">
        <v>4</v>
      </c>
      <c r="C15" s="367" t="s">
        <v>410</v>
      </c>
      <c r="D15" s="291"/>
      <c r="E15" s="291"/>
      <c r="F15" s="291"/>
      <c r="G15" s="291"/>
      <c r="H15" s="291"/>
      <c r="I15" s="291"/>
      <c r="J15" s="291"/>
      <c r="K15" s="291"/>
      <c r="L15" s="291"/>
      <c r="M15" s="291"/>
      <c r="N15" s="291"/>
      <c r="O15" s="291"/>
    </row>
    <row r="16" spans="1:15" ht="18" customHeight="1">
      <c r="A16" s="291"/>
      <c r="B16" s="364" t="s">
        <v>416</v>
      </c>
      <c r="C16" s="367" t="s">
        <v>417</v>
      </c>
      <c r="D16" s="291"/>
      <c r="E16" s="291"/>
      <c r="F16" s="291"/>
      <c r="G16" s="291"/>
      <c r="H16" s="291"/>
      <c r="I16" s="291"/>
      <c r="J16" s="291"/>
      <c r="K16" s="291"/>
      <c r="L16" s="291"/>
      <c r="M16" s="291"/>
      <c r="N16" s="291"/>
      <c r="O16" s="291"/>
    </row>
    <row r="17" spans="1:15" ht="18" customHeight="1">
      <c r="A17" s="291"/>
      <c r="B17" s="364" t="s">
        <v>159</v>
      </c>
      <c r="C17" s="367" t="s">
        <v>160</v>
      </c>
      <c r="D17" s="291"/>
      <c r="E17" s="291"/>
      <c r="F17" s="291"/>
      <c r="G17" s="291"/>
      <c r="H17" s="291"/>
      <c r="I17" s="291"/>
      <c r="J17" s="291"/>
      <c r="K17" s="291"/>
      <c r="L17" s="291"/>
      <c r="M17" s="291"/>
      <c r="N17" s="291"/>
      <c r="O17" s="291"/>
    </row>
    <row r="18" spans="1:15" ht="18" customHeight="1">
      <c r="A18" s="291"/>
      <c r="B18" s="364" t="s">
        <v>299</v>
      </c>
      <c r="C18" s="367" t="s">
        <v>300</v>
      </c>
      <c r="D18" s="291"/>
      <c r="E18" s="291"/>
      <c r="F18" s="291"/>
      <c r="G18" s="291"/>
      <c r="H18" s="291"/>
      <c r="I18" s="291"/>
      <c r="J18" s="291"/>
      <c r="K18" s="291"/>
      <c r="L18" s="291"/>
      <c r="M18" s="291"/>
      <c r="N18" s="291"/>
      <c r="O18" s="291"/>
    </row>
    <row r="19" spans="1:15" ht="18" customHeight="1">
      <c r="A19" s="291"/>
      <c r="B19" s="364" t="s">
        <v>161</v>
      </c>
      <c r="C19" s="367" t="s">
        <v>162</v>
      </c>
      <c r="D19" s="291"/>
      <c r="E19" s="291"/>
      <c r="F19" s="291"/>
      <c r="G19" s="291"/>
      <c r="H19" s="291"/>
      <c r="I19" s="291"/>
      <c r="J19" s="291"/>
      <c r="K19" s="291"/>
      <c r="L19" s="291"/>
      <c r="M19" s="291"/>
      <c r="N19" s="291"/>
      <c r="O19" s="291"/>
    </row>
    <row r="20" spans="1:15" ht="18" customHeight="1">
      <c r="A20" s="291"/>
      <c r="B20" s="364" t="s">
        <v>163</v>
      </c>
      <c r="C20" s="367" t="s">
        <v>415</v>
      </c>
      <c r="D20" s="291"/>
      <c r="E20" s="291"/>
      <c r="F20" s="291"/>
      <c r="G20" s="291"/>
      <c r="H20" s="291"/>
      <c r="I20" s="291"/>
      <c r="J20" s="291"/>
      <c r="K20" s="291"/>
      <c r="L20" s="291"/>
      <c r="M20" s="291"/>
      <c r="N20" s="291"/>
      <c r="O20" s="291"/>
    </row>
    <row r="21" spans="1:15" ht="18" customHeight="1">
      <c r="A21" s="291"/>
      <c r="B21" s="364" t="s">
        <v>413</v>
      </c>
      <c r="C21" s="367" t="s">
        <v>414</v>
      </c>
      <c r="D21" s="291"/>
      <c r="E21" s="291"/>
      <c r="F21" s="291"/>
      <c r="G21" s="291"/>
      <c r="H21" s="291"/>
      <c r="I21" s="291"/>
      <c r="J21" s="291"/>
      <c r="K21" s="291"/>
      <c r="L21" s="291"/>
      <c r="M21" s="291"/>
      <c r="N21" s="291"/>
      <c r="O21" s="291"/>
    </row>
    <row r="22" spans="1:15" ht="18" customHeight="1">
      <c r="A22" s="291"/>
      <c r="B22" s="364" t="s">
        <v>190</v>
      </c>
      <c r="C22" s="367" t="s">
        <v>422</v>
      </c>
      <c r="D22" s="291"/>
      <c r="E22" s="291"/>
      <c r="F22" s="291"/>
      <c r="G22" s="291"/>
      <c r="H22" s="291"/>
      <c r="I22" s="291"/>
      <c r="J22" s="291"/>
      <c r="K22" s="291"/>
      <c r="L22" s="291"/>
      <c r="M22" s="291"/>
      <c r="N22" s="291"/>
      <c r="O22" s="291"/>
    </row>
    <row r="23" spans="1:15" ht="18" customHeight="1">
      <c r="A23" s="291"/>
      <c r="B23" s="364" t="s">
        <v>164</v>
      </c>
      <c r="C23" s="367" t="s">
        <v>165</v>
      </c>
      <c r="D23" s="291"/>
      <c r="E23" s="291"/>
      <c r="F23" s="291"/>
      <c r="G23" s="291"/>
      <c r="H23" s="291"/>
      <c r="I23" s="291"/>
      <c r="J23" s="291"/>
      <c r="K23" s="291"/>
      <c r="L23" s="291"/>
      <c r="M23" s="291"/>
      <c r="N23" s="291"/>
      <c r="O23" s="291"/>
    </row>
    <row r="24" spans="1:15" ht="18" customHeight="1">
      <c r="A24" s="291"/>
      <c r="B24" s="364" t="s">
        <v>166</v>
      </c>
      <c r="C24" s="367" t="s">
        <v>8</v>
      </c>
      <c r="D24" s="291"/>
      <c r="E24" s="291"/>
      <c r="F24" s="291"/>
      <c r="G24" s="291"/>
      <c r="H24" s="291"/>
      <c r="I24" s="291"/>
      <c r="J24" s="291"/>
      <c r="K24" s="291"/>
      <c r="L24" s="291"/>
      <c r="M24" s="291"/>
      <c r="N24" s="291"/>
      <c r="O24" s="291"/>
    </row>
    <row r="25" spans="1:15" ht="18" customHeight="1">
      <c r="A25" s="291"/>
      <c r="B25" s="373" t="s">
        <v>279</v>
      </c>
      <c r="C25" s="374" t="s">
        <v>280</v>
      </c>
      <c r="D25" s="291"/>
      <c r="E25" s="291"/>
      <c r="F25" s="291"/>
      <c r="G25" s="291"/>
      <c r="H25" s="291"/>
      <c r="I25" s="291"/>
      <c r="J25" s="291"/>
      <c r="K25" s="291"/>
      <c r="L25" s="291"/>
      <c r="M25" s="291"/>
      <c r="N25" s="291"/>
      <c r="O25" s="291"/>
    </row>
    <row r="26" spans="1:15" ht="18" customHeight="1">
      <c r="A26" s="291"/>
      <c r="B26" s="365" t="s">
        <v>167</v>
      </c>
      <c r="C26" s="368" t="s">
        <v>423</v>
      </c>
      <c r="D26" s="291"/>
      <c r="E26" s="291"/>
      <c r="F26" s="291"/>
      <c r="G26" s="291"/>
      <c r="H26" s="291"/>
      <c r="I26" s="291"/>
      <c r="J26" s="291"/>
      <c r="K26" s="291"/>
      <c r="L26" s="291"/>
      <c r="M26" s="291"/>
      <c r="N26" s="291"/>
      <c r="O26" s="291"/>
    </row>
    <row r="27" spans="1:15">
      <c r="A27" s="291"/>
      <c r="B27" s="291"/>
      <c r="C27" s="291"/>
      <c r="D27" s="291"/>
      <c r="E27" s="291"/>
      <c r="F27" s="291"/>
      <c r="G27" s="291"/>
      <c r="H27" s="291"/>
      <c r="I27" s="291"/>
      <c r="J27" s="291"/>
      <c r="K27" s="291"/>
      <c r="L27" s="291"/>
      <c r="M27" s="291"/>
      <c r="N27" s="291"/>
      <c r="O27" s="291"/>
    </row>
    <row r="28" spans="1:15">
      <c r="A28" s="291"/>
      <c r="B28" s="291"/>
      <c r="C28" s="291"/>
      <c r="D28" s="291"/>
      <c r="E28" s="291"/>
      <c r="F28" s="291"/>
      <c r="G28" s="291"/>
      <c r="H28" s="291"/>
      <c r="I28" s="291"/>
      <c r="J28" s="291"/>
      <c r="K28" s="291"/>
      <c r="L28" s="291"/>
      <c r="M28" s="291"/>
      <c r="N28" s="291"/>
      <c r="O28" s="291"/>
    </row>
    <row r="29" spans="1:15">
      <c r="A29" s="291"/>
      <c r="B29" s="291"/>
      <c r="C29" s="291"/>
      <c r="D29" s="291"/>
      <c r="E29" s="291"/>
      <c r="F29" s="291"/>
      <c r="G29" s="291"/>
      <c r="H29" s="291"/>
      <c r="I29" s="291"/>
      <c r="J29" s="291"/>
      <c r="K29" s="291"/>
      <c r="L29" s="291"/>
      <c r="M29" s="291"/>
      <c r="N29" s="291"/>
      <c r="O29" s="291"/>
    </row>
    <row r="30" spans="1:15">
      <c r="A30" s="291"/>
      <c r="B30" s="291"/>
      <c r="C30" s="291"/>
      <c r="D30" s="291"/>
      <c r="E30" s="291"/>
      <c r="F30" s="291"/>
      <c r="G30" s="291"/>
      <c r="H30" s="291"/>
      <c r="I30" s="291"/>
      <c r="J30" s="291"/>
      <c r="K30" s="291"/>
      <c r="L30" s="291"/>
      <c r="M30" s="291"/>
      <c r="N30" s="291"/>
      <c r="O30" s="291"/>
    </row>
    <row r="31" spans="1:15">
      <c r="A31" s="291"/>
      <c r="B31" s="291"/>
      <c r="C31" s="291"/>
      <c r="D31" s="291"/>
      <c r="E31" s="291"/>
      <c r="F31" s="291"/>
      <c r="G31" s="291"/>
      <c r="H31" s="291"/>
      <c r="I31" s="291"/>
      <c r="J31" s="291"/>
      <c r="K31" s="291"/>
      <c r="L31" s="291"/>
      <c r="M31" s="291"/>
      <c r="N31" s="291"/>
      <c r="O31" s="291"/>
    </row>
    <row r="32" spans="1:15">
      <c r="A32" s="291"/>
      <c r="B32" s="291"/>
      <c r="C32" s="291"/>
      <c r="D32" s="291"/>
      <c r="E32" s="291"/>
      <c r="F32" s="291"/>
      <c r="G32" s="291"/>
      <c r="H32" s="291"/>
      <c r="I32" s="291"/>
      <c r="J32" s="291"/>
      <c r="K32" s="291"/>
      <c r="L32" s="291"/>
      <c r="M32" s="291"/>
      <c r="N32" s="291"/>
      <c r="O32" s="291"/>
    </row>
    <row r="33" spans="1:15">
      <c r="A33" s="291"/>
      <c r="B33" s="291"/>
      <c r="C33" s="291"/>
      <c r="D33" s="291"/>
      <c r="E33" s="291"/>
      <c r="F33" s="291"/>
      <c r="G33" s="291"/>
      <c r="H33" s="291"/>
      <c r="I33" s="291"/>
      <c r="J33" s="291"/>
      <c r="K33" s="291"/>
      <c r="L33" s="291"/>
      <c r="M33" s="291"/>
      <c r="N33" s="291"/>
      <c r="O33" s="291"/>
    </row>
    <row r="34" spans="1:15">
      <c r="A34" s="291"/>
      <c r="B34" s="291"/>
      <c r="C34" s="291"/>
      <c r="D34" s="291"/>
      <c r="E34" s="291"/>
      <c r="F34" s="291"/>
      <c r="G34" s="291"/>
      <c r="H34" s="291"/>
      <c r="I34" s="291"/>
      <c r="J34" s="291"/>
      <c r="K34" s="291"/>
      <c r="L34" s="291"/>
      <c r="M34" s="291"/>
      <c r="N34" s="291"/>
      <c r="O34" s="291"/>
    </row>
    <row r="35" spans="1:15">
      <c r="A35" s="291"/>
      <c r="B35" s="291"/>
      <c r="C35" s="291"/>
      <c r="D35" s="291"/>
      <c r="E35" s="291"/>
      <c r="F35" s="291"/>
      <c r="G35" s="291"/>
      <c r="H35" s="291"/>
      <c r="I35" s="291"/>
      <c r="J35" s="291"/>
      <c r="K35" s="291"/>
      <c r="L35" s="291"/>
      <c r="M35" s="291"/>
      <c r="N35" s="291"/>
      <c r="O35" s="291"/>
    </row>
    <row r="36" spans="1:15">
      <c r="A36" s="291"/>
      <c r="B36" s="291"/>
      <c r="C36" s="291"/>
      <c r="D36" s="291"/>
      <c r="E36" s="291"/>
      <c r="F36" s="291"/>
      <c r="G36" s="291"/>
      <c r="H36" s="291"/>
      <c r="I36" s="291"/>
      <c r="J36" s="291"/>
      <c r="K36" s="291"/>
      <c r="L36" s="291"/>
      <c r="M36" s="291"/>
      <c r="N36" s="291"/>
      <c r="O36" s="291"/>
    </row>
    <row r="37" spans="1:15">
      <c r="A37" s="291"/>
      <c r="B37" s="291"/>
      <c r="C37" s="291"/>
      <c r="D37" s="291"/>
      <c r="E37" s="291"/>
      <c r="F37" s="291"/>
      <c r="G37" s="291"/>
      <c r="H37" s="291"/>
      <c r="I37" s="291"/>
      <c r="J37" s="291"/>
      <c r="K37" s="291"/>
      <c r="L37" s="291"/>
      <c r="M37" s="291"/>
      <c r="N37" s="291"/>
      <c r="O37" s="291"/>
    </row>
    <row r="38" spans="1:15">
      <c r="A38" s="291"/>
      <c r="B38" s="291"/>
      <c r="C38" s="291"/>
      <c r="D38" s="291"/>
      <c r="E38" s="291"/>
      <c r="F38" s="291"/>
      <c r="G38" s="291"/>
      <c r="H38" s="291"/>
      <c r="I38" s="291"/>
      <c r="J38" s="291"/>
      <c r="K38" s="291"/>
      <c r="L38" s="291"/>
      <c r="M38" s="291"/>
      <c r="N38" s="291"/>
      <c r="O38" s="291"/>
    </row>
    <row r="39" spans="1:15">
      <c r="A39" s="291"/>
      <c r="B39" s="291"/>
      <c r="C39" s="291"/>
      <c r="D39" s="291"/>
      <c r="E39" s="291"/>
      <c r="F39" s="291"/>
      <c r="G39" s="291"/>
      <c r="H39" s="291"/>
      <c r="I39" s="291"/>
      <c r="J39" s="291"/>
      <c r="K39" s="291"/>
      <c r="L39" s="291"/>
      <c r="M39" s="291"/>
      <c r="N39" s="291"/>
      <c r="O39" s="291"/>
    </row>
    <row r="40" spans="1:15">
      <c r="A40" s="291"/>
      <c r="B40" s="291"/>
      <c r="C40" s="291"/>
      <c r="D40" s="291"/>
      <c r="E40" s="291"/>
      <c r="F40" s="291"/>
      <c r="G40" s="291"/>
      <c r="H40" s="291"/>
      <c r="I40" s="291"/>
      <c r="J40" s="291"/>
      <c r="K40" s="291"/>
      <c r="L40" s="291"/>
      <c r="M40" s="291"/>
      <c r="N40" s="291"/>
      <c r="O40" s="291"/>
    </row>
    <row r="41" spans="1:15">
      <c r="A41" s="291"/>
      <c r="B41" s="291"/>
      <c r="C41" s="291"/>
      <c r="D41" s="291"/>
      <c r="E41" s="291"/>
      <c r="F41" s="291"/>
      <c r="G41" s="291"/>
      <c r="H41" s="291"/>
      <c r="I41" s="291"/>
      <c r="J41" s="291"/>
      <c r="K41" s="291"/>
      <c r="L41" s="291"/>
      <c r="M41" s="291"/>
      <c r="N41" s="291"/>
      <c r="O41" s="291"/>
    </row>
    <row r="42" spans="1:15">
      <c r="A42" s="291"/>
      <c r="B42" s="291"/>
      <c r="C42" s="291"/>
      <c r="D42" s="291"/>
      <c r="E42" s="291"/>
      <c r="F42" s="291"/>
      <c r="G42" s="291"/>
      <c r="H42" s="291"/>
      <c r="I42" s="291"/>
      <c r="J42" s="291"/>
      <c r="K42" s="291"/>
      <c r="L42" s="291"/>
      <c r="M42" s="291"/>
      <c r="N42" s="291"/>
      <c r="O42" s="291"/>
    </row>
    <row r="43" spans="1:15">
      <c r="A43" s="291"/>
      <c r="B43" s="291"/>
      <c r="C43" s="291"/>
      <c r="D43" s="291"/>
      <c r="E43" s="291"/>
      <c r="F43" s="291"/>
      <c r="G43" s="291"/>
      <c r="H43" s="291"/>
      <c r="I43" s="291"/>
      <c r="J43" s="291"/>
      <c r="K43" s="291"/>
      <c r="L43" s="291"/>
      <c r="M43" s="291"/>
      <c r="N43" s="291"/>
      <c r="O43" s="291"/>
    </row>
    <row r="44" spans="1:15">
      <c r="A44" s="291"/>
      <c r="B44" s="291"/>
      <c r="C44" s="291"/>
      <c r="D44" s="291"/>
      <c r="E44" s="291"/>
      <c r="F44" s="291"/>
      <c r="G44" s="291"/>
      <c r="H44" s="291"/>
      <c r="I44" s="291"/>
      <c r="J44" s="291"/>
      <c r="K44" s="291"/>
      <c r="L44" s="291"/>
      <c r="M44" s="291"/>
      <c r="N44" s="291"/>
      <c r="O44" s="291"/>
    </row>
    <row r="45" spans="1:15">
      <c r="A45" s="291"/>
      <c r="B45" s="291"/>
      <c r="C45" s="291"/>
      <c r="D45" s="291"/>
      <c r="E45" s="291"/>
      <c r="F45" s="291"/>
      <c r="G45" s="291"/>
      <c r="H45" s="291"/>
      <c r="I45" s="291"/>
      <c r="J45" s="291"/>
      <c r="K45" s="291"/>
      <c r="L45" s="291"/>
      <c r="M45" s="291"/>
      <c r="N45" s="291"/>
      <c r="O45" s="291"/>
    </row>
    <row r="46" spans="1:15">
      <c r="A46" s="291"/>
      <c r="B46" s="291"/>
      <c r="C46" s="291"/>
      <c r="D46" s="291"/>
      <c r="E46" s="291"/>
      <c r="F46" s="291"/>
      <c r="G46" s="291"/>
      <c r="H46" s="291"/>
      <c r="I46" s="291"/>
      <c r="J46" s="291"/>
      <c r="K46" s="291"/>
      <c r="L46" s="291"/>
      <c r="M46" s="291"/>
      <c r="N46" s="291"/>
      <c r="O46" s="291"/>
    </row>
    <row r="47" spans="1:15">
      <c r="A47" s="291"/>
      <c r="B47" s="291"/>
      <c r="C47" s="291"/>
      <c r="D47" s="291"/>
      <c r="E47" s="291"/>
      <c r="F47" s="291"/>
      <c r="G47" s="291"/>
      <c r="H47" s="291"/>
      <c r="I47" s="291"/>
      <c r="J47" s="291"/>
      <c r="K47" s="291"/>
      <c r="L47" s="291"/>
      <c r="M47" s="291"/>
      <c r="N47" s="291"/>
      <c r="O47" s="291"/>
    </row>
  </sheetData>
  <mergeCells count="1">
    <mergeCell ref="B2:C2"/>
  </mergeCells>
  <phoneticPr fontId="4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indexed="14"/>
  </sheetPr>
  <dimension ref="B1:AF96"/>
  <sheetViews>
    <sheetView showGridLines="0" topLeftCell="A7" zoomScaleNormal="100" zoomScaleSheetLayoutView="100" workbookViewId="0">
      <selection activeCell="C13" sqref="C13"/>
    </sheetView>
  </sheetViews>
  <sheetFormatPr defaultColWidth="9" defaultRowHeight="14.25"/>
  <cols>
    <col min="1" max="1" width="4.7109375" style="52" customWidth="1"/>
    <col min="2" max="2" width="70.7109375" style="65" customWidth="1"/>
    <col min="3" max="3" width="74.5703125" style="67" customWidth="1"/>
    <col min="4" max="4" width="11.7109375" style="52" bestFit="1" customWidth="1"/>
    <col min="5" max="5" width="9" style="52" bestFit="1" customWidth="1"/>
    <col min="6" max="7" width="12.85546875" style="52" customWidth="1"/>
    <col min="8" max="8" width="9" style="52"/>
    <col min="9" max="9" width="20.5703125" style="52" customWidth="1"/>
    <col min="10" max="12" width="9" style="52"/>
    <col min="13" max="13" width="9" style="53" customWidth="1"/>
    <col min="14" max="31" width="9" style="52"/>
    <col min="32" max="32" width="9" style="53" customWidth="1"/>
    <col min="33" max="16384" width="9" style="52"/>
  </cols>
  <sheetData>
    <row r="1" spans="2:32" ht="27.75" customHeight="1" thickTop="1" thickBot="1">
      <c r="B1" s="389" t="s">
        <v>181</v>
      </c>
      <c r="C1" s="390"/>
    </row>
    <row r="2" spans="2:32" ht="135" customHeight="1" thickTop="1" thickBot="1">
      <c r="B2" s="391" t="s">
        <v>39</v>
      </c>
      <c r="C2" s="392"/>
    </row>
    <row r="3" spans="2:32" ht="9" customHeight="1" thickTop="1" thickBot="1"/>
    <row r="4" spans="2:32" ht="21.95" customHeight="1" thickTop="1">
      <c r="B4" s="156" t="s">
        <v>424</v>
      </c>
      <c r="C4" s="157" t="s">
        <v>425</v>
      </c>
    </row>
    <row r="5" spans="2:32" ht="20.25" customHeight="1">
      <c r="B5" s="154" t="s">
        <v>182</v>
      </c>
      <c r="C5" s="155" t="s">
        <v>183</v>
      </c>
    </row>
    <row r="6" spans="2:32" s="54" customFormat="1" ht="20.25" customHeight="1">
      <c r="B6" s="149" t="s">
        <v>184</v>
      </c>
      <c r="C6" s="150" t="s">
        <v>185</v>
      </c>
      <c r="D6" s="256"/>
      <c r="M6" s="55"/>
      <c r="AF6" s="55"/>
    </row>
    <row r="7" spans="2:32" ht="32.25" customHeight="1">
      <c r="B7" s="151" t="s">
        <v>186</v>
      </c>
      <c r="C7" s="371" t="s">
        <v>278</v>
      </c>
      <c r="F7" s="56"/>
    </row>
    <row r="8" spans="2:32" ht="30.75" customHeight="1">
      <c r="B8" s="151" t="s">
        <v>187</v>
      </c>
      <c r="C8" s="152" t="s">
        <v>188</v>
      </c>
      <c r="F8" s="56"/>
    </row>
    <row r="9" spans="2:32" ht="49.5" customHeight="1">
      <c r="B9" s="151" t="s">
        <v>42</v>
      </c>
      <c r="C9" s="308" t="s">
        <v>433</v>
      </c>
    </row>
    <row r="10" spans="2:32" ht="58.5" customHeight="1">
      <c r="B10" s="341" t="s">
        <v>189</v>
      </c>
      <c r="C10" s="308" t="s">
        <v>434</v>
      </c>
    </row>
    <row r="11" spans="2:32" ht="30.75" customHeight="1">
      <c r="B11" s="257" t="s">
        <v>435</v>
      </c>
      <c r="C11" s="342" t="s">
        <v>437</v>
      </c>
    </row>
    <row r="12" spans="2:32" ht="67.5" customHeight="1">
      <c r="B12" s="331" t="s">
        <v>436</v>
      </c>
      <c r="C12" s="332" t="s">
        <v>428</v>
      </c>
    </row>
    <row r="13" spans="2:32" ht="19.5" customHeight="1">
      <c r="B13" s="372" t="s">
        <v>439</v>
      </c>
      <c r="C13" s="342" t="s">
        <v>440</v>
      </c>
    </row>
    <row r="14" spans="2:32" s="57" customFormat="1" ht="21.95" customHeight="1" thickBot="1">
      <c r="B14" s="361" t="s">
        <v>190</v>
      </c>
      <c r="C14" s="362"/>
      <c r="M14" s="58"/>
      <c r="AF14" s="58"/>
    </row>
    <row r="15" spans="2:32" s="57" customFormat="1" ht="21.75" customHeight="1" thickTop="1">
      <c r="B15" s="395" t="s">
        <v>441</v>
      </c>
      <c r="C15" s="396"/>
      <c r="M15" s="58"/>
      <c r="AF15" s="58"/>
    </row>
    <row r="16" spans="2:32" ht="16.5" customHeight="1">
      <c r="B16" s="151" t="s">
        <v>442</v>
      </c>
      <c r="C16" s="158" t="s">
        <v>444</v>
      </c>
    </row>
    <row r="17" spans="2:3" ht="15.75" customHeight="1">
      <c r="B17" s="151" t="s">
        <v>443</v>
      </c>
      <c r="C17" s="158" t="s">
        <v>445</v>
      </c>
    </row>
    <row r="18" spans="2:3" ht="28.5" customHeight="1">
      <c r="B18" s="151" t="s">
        <v>446</v>
      </c>
      <c r="C18" s="159" t="s">
        <v>447</v>
      </c>
    </row>
    <row r="19" spans="2:3" ht="16.5" customHeight="1">
      <c r="B19" s="151" t="s">
        <v>448</v>
      </c>
      <c r="C19" s="158" t="s">
        <v>451</v>
      </c>
    </row>
    <row r="20" spans="2:3" s="53" customFormat="1" ht="19.5" customHeight="1">
      <c r="B20" s="341" t="s">
        <v>267</v>
      </c>
      <c r="C20" s="343" t="s">
        <v>452</v>
      </c>
    </row>
    <row r="21" spans="2:3" ht="21.95" customHeight="1">
      <c r="B21" s="397" t="s">
        <v>453</v>
      </c>
      <c r="C21" s="398"/>
    </row>
    <row r="22" spans="2:3" ht="18.75" customHeight="1">
      <c r="B22" s="369" t="s">
        <v>454</v>
      </c>
      <c r="C22" s="370"/>
    </row>
    <row r="23" spans="2:3" ht="15" customHeight="1">
      <c r="B23" s="151" t="s">
        <v>193</v>
      </c>
      <c r="C23" s="386" t="s">
        <v>281</v>
      </c>
    </row>
    <row r="24" spans="2:3" ht="15" customHeight="1">
      <c r="B24" s="160" t="s">
        <v>194</v>
      </c>
      <c r="C24" s="387"/>
    </row>
    <row r="25" spans="2:3" ht="15" customHeight="1">
      <c r="B25" s="160" t="s">
        <v>195</v>
      </c>
      <c r="C25" s="387"/>
    </row>
    <row r="26" spans="2:3" ht="15" customHeight="1">
      <c r="B26" s="160" t="s">
        <v>196</v>
      </c>
      <c r="C26" s="387"/>
    </row>
    <row r="27" spans="2:3" ht="15" customHeight="1">
      <c r="B27" s="160" t="s">
        <v>197</v>
      </c>
      <c r="C27" s="387"/>
    </row>
    <row r="28" spans="2:3" ht="15" customHeight="1">
      <c r="B28" s="160" t="s">
        <v>198</v>
      </c>
      <c r="C28" s="387"/>
    </row>
    <row r="29" spans="2:3" ht="15" customHeight="1">
      <c r="B29" s="160" t="s">
        <v>199</v>
      </c>
      <c r="C29" s="387"/>
    </row>
    <row r="30" spans="2:3" ht="15" customHeight="1">
      <c r="B30" s="160" t="s">
        <v>200</v>
      </c>
      <c r="C30" s="387"/>
    </row>
    <row r="31" spans="2:3" ht="15" customHeight="1">
      <c r="B31" s="160" t="s">
        <v>201</v>
      </c>
      <c r="C31" s="387"/>
    </row>
    <row r="32" spans="2:3" ht="15" customHeight="1">
      <c r="B32" s="160" t="s">
        <v>202</v>
      </c>
      <c r="C32" s="388"/>
    </row>
    <row r="33" spans="2:4" ht="18.75" customHeight="1">
      <c r="B33" s="384" t="s">
        <v>216</v>
      </c>
      <c r="C33" s="385"/>
    </row>
    <row r="34" spans="2:4" ht="21" customHeight="1">
      <c r="B34" s="160" t="s">
        <v>268</v>
      </c>
      <c r="C34" s="393" t="s">
        <v>270</v>
      </c>
    </row>
    <row r="35" spans="2:4" ht="21" customHeight="1">
      <c r="B35" s="160" t="s">
        <v>269</v>
      </c>
      <c r="C35" s="394"/>
    </row>
    <row r="36" spans="2:4" ht="20.25" customHeight="1">
      <c r="B36" s="382" t="s">
        <v>271</v>
      </c>
      <c r="C36" s="383"/>
    </row>
    <row r="37" spans="2:4" ht="30.75" customHeight="1">
      <c r="B37" s="151" t="s">
        <v>272</v>
      </c>
      <c r="C37" s="159" t="s">
        <v>218</v>
      </c>
    </row>
    <row r="38" spans="2:4" ht="30.75" customHeight="1">
      <c r="B38" s="257" t="s">
        <v>217</v>
      </c>
      <c r="C38" s="258" t="s">
        <v>219</v>
      </c>
    </row>
    <row r="39" spans="2:4" s="53" customFormat="1" ht="20.25" customHeight="1">
      <c r="B39" s="161" t="s">
        <v>220</v>
      </c>
      <c r="C39" s="162"/>
      <c r="D39" s="61"/>
    </row>
    <row r="40" spans="2:4" s="53" customFormat="1" ht="14.1" customHeight="1">
      <c r="B40" s="151" t="s">
        <v>297</v>
      </c>
      <c r="C40" s="163" t="s">
        <v>295</v>
      </c>
      <c r="D40" s="61"/>
    </row>
    <row r="41" spans="2:4" s="53" customFormat="1" ht="14.1" customHeight="1">
      <c r="B41" s="151" t="s">
        <v>221</v>
      </c>
      <c r="C41" s="163" t="s">
        <v>460</v>
      </c>
      <c r="D41" s="61"/>
    </row>
    <row r="42" spans="2:4" s="53" customFormat="1" ht="14.1" customHeight="1">
      <c r="B42" s="151" t="s">
        <v>222</v>
      </c>
      <c r="C42" s="164" t="s">
        <v>461</v>
      </c>
      <c r="D42" s="61"/>
    </row>
    <row r="43" spans="2:4" s="53" customFormat="1" ht="14.1" customHeight="1">
      <c r="B43" s="379" t="s">
        <v>282</v>
      </c>
      <c r="C43" s="380" t="s">
        <v>296</v>
      </c>
      <c r="D43" s="61"/>
    </row>
    <row r="44" spans="2:4" s="53" customFormat="1" ht="21" customHeight="1">
      <c r="B44" s="165" t="s">
        <v>462</v>
      </c>
      <c r="C44" s="166"/>
      <c r="D44" s="61"/>
    </row>
    <row r="45" spans="2:4" s="53" customFormat="1" ht="19.5" customHeight="1">
      <c r="B45" s="257" t="s">
        <v>77</v>
      </c>
      <c r="C45" s="375" t="s">
        <v>427</v>
      </c>
      <c r="D45" s="61"/>
    </row>
    <row r="46" spans="2:4" s="53" customFormat="1" ht="28.5">
      <c r="B46" s="257" t="s">
        <v>283</v>
      </c>
      <c r="C46" s="258" t="s">
        <v>286</v>
      </c>
      <c r="D46" s="61"/>
    </row>
    <row r="47" spans="2:4" s="53" customFormat="1" ht="28.5">
      <c r="B47" s="257" t="s">
        <v>284</v>
      </c>
      <c r="C47" s="258" t="s">
        <v>287</v>
      </c>
      <c r="D47" s="61"/>
    </row>
    <row r="48" spans="2:4" s="53" customFormat="1" ht="30.75">
      <c r="B48" s="151" t="s">
        <v>463</v>
      </c>
      <c r="C48" s="307" t="s">
        <v>472</v>
      </c>
    </row>
    <row r="49" spans="2:32" ht="15" customHeight="1">
      <c r="B49" s="151" t="s">
        <v>464</v>
      </c>
      <c r="C49" s="158" t="s">
        <v>469</v>
      </c>
    </row>
    <row r="50" spans="2:32" ht="15" customHeight="1">
      <c r="B50" s="151" t="s">
        <v>465</v>
      </c>
      <c r="C50" s="158" t="s">
        <v>470</v>
      </c>
    </row>
    <row r="51" spans="2:32" s="53" customFormat="1" ht="30.75" customHeight="1">
      <c r="B51" s="151" t="s">
        <v>466</v>
      </c>
      <c r="C51" s="159" t="s">
        <v>471</v>
      </c>
    </row>
    <row r="52" spans="2:32" ht="43.5" customHeight="1">
      <c r="B52" s="151" t="s">
        <v>467</v>
      </c>
      <c r="C52" s="159" t="s">
        <v>17</v>
      </c>
    </row>
    <row r="53" spans="2:32" s="57" customFormat="1" ht="36.75" customHeight="1" thickBot="1">
      <c r="B53" s="167" t="s">
        <v>468</v>
      </c>
      <c r="C53" s="259" t="s">
        <v>18</v>
      </c>
      <c r="M53" s="58"/>
      <c r="AF53" s="58"/>
    </row>
    <row r="54" spans="2:32" ht="21" customHeight="1" thickTop="1" thickBot="1">
      <c r="B54" s="168" t="s">
        <v>473</v>
      </c>
      <c r="C54" s="169"/>
    </row>
    <row r="55" spans="2:32" ht="27.75" customHeight="1" thickTop="1">
      <c r="B55" s="171" t="s">
        <v>474</v>
      </c>
      <c r="C55" s="172" t="s">
        <v>475</v>
      </c>
    </row>
    <row r="56" spans="2:32" ht="42.75">
      <c r="B56" s="151" t="s">
        <v>0</v>
      </c>
      <c r="C56" s="258" t="s">
        <v>12</v>
      </c>
    </row>
    <row r="57" spans="2:32" ht="57">
      <c r="B57" s="257" t="s">
        <v>1</v>
      </c>
      <c r="C57" s="296" t="s">
        <v>44</v>
      </c>
    </row>
    <row r="58" spans="2:32" ht="19.5" customHeight="1">
      <c r="B58" s="257" t="s">
        <v>2</v>
      </c>
      <c r="C58" s="271" t="s">
        <v>13</v>
      </c>
    </row>
    <row r="59" spans="2:32" ht="20.25" customHeight="1">
      <c r="B59" s="257" t="s">
        <v>431</v>
      </c>
      <c r="C59" s="258" t="s">
        <v>432</v>
      </c>
    </row>
    <row r="60" spans="2:32" ht="28.5">
      <c r="B60" s="257" t="s">
        <v>430</v>
      </c>
      <c r="C60" s="258" t="s">
        <v>429</v>
      </c>
    </row>
    <row r="61" spans="2:32" ht="19.5" customHeight="1">
      <c r="B61" s="151" t="s">
        <v>3</v>
      </c>
      <c r="C61" s="173" t="s">
        <v>14</v>
      </c>
    </row>
    <row r="62" spans="2:32" ht="21" customHeight="1">
      <c r="B62" s="187" t="s">
        <v>15</v>
      </c>
      <c r="C62" s="176"/>
    </row>
    <row r="63" spans="2:32" ht="21.75" customHeight="1">
      <c r="B63" s="177" t="s">
        <v>16</v>
      </c>
      <c r="C63" s="178"/>
    </row>
    <row r="64" spans="2:32" ht="14.1" customHeight="1">
      <c r="B64" s="151" t="s">
        <v>203</v>
      </c>
      <c r="C64" s="386" t="s">
        <v>288</v>
      </c>
    </row>
    <row r="65" spans="2:3" ht="14.1" customHeight="1">
      <c r="B65" s="160" t="s">
        <v>197</v>
      </c>
      <c r="C65" s="387"/>
    </row>
    <row r="66" spans="2:3" ht="14.1" customHeight="1">
      <c r="B66" s="160" t="s">
        <v>204</v>
      </c>
      <c r="C66" s="387"/>
    </row>
    <row r="67" spans="2:3" ht="14.1" customHeight="1">
      <c r="B67" s="160" t="s">
        <v>196</v>
      </c>
      <c r="C67" s="387"/>
    </row>
    <row r="68" spans="2:3" ht="14.1" customHeight="1">
      <c r="B68" s="160" t="s">
        <v>205</v>
      </c>
      <c r="C68" s="387"/>
    </row>
    <row r="69" spans="2:3" ht="14.1" customHeight="1">
      <c r="B69" s="160" t="s">
        <v>206</v>
      </c>
      <c r="C69" s="387"/>
    </row>
    <row r="70" spans="2:3" ht="14.1" customHeight="1">
      <c r="B70" s="160" t="s">
        <v>207</v>
      </c>
      <c r="C70" s="388"/>
    </row>
    <row r="71" spans="2:3" ht="14.1" customHeight="1">
      <c r="B71" s="179"/>
      <c r="C71" s="178"/>
    </row>
    <row r="72" spans="2:3" ht="14.1" customHeight="1">
      <c r="B72" s="384" t="s">
        <v>216</v>
      </c>
      <c r="C72" s="385"/>
    </row>
    <row r="73" spans="2:3" ht="22.5" customHeight="1">
      <c r="B73" s="160" t="s">
        <v>268</v>
      </c>
      <c r="C73" s="269" t="s">
        <v>19</v>
      </c>
    </row>
    <row r="74" spans="2:3" ht="27.75" customHeight="1">
      <c r="B74" s="160" t="s">
        <v>269</v>
      </c>
      <c r="C74" s="270" t="s">
        <v>20</v>
      </c>
    </row>
    <row r="75" spans="2:3" s="53" customFormat="1" ht="14.1" customHeight="1">
      <c r="B75" s="174"/>
      <c r="C75" s="175"/>
    </row>
    <row r="76" spans="2:3" s="53" customFormat="1" ht="14.1" customHeight="1">
      <c r="B76" s="350" t="s">
        <v>21</v>
      </c>
      <c r="C76" s="162"/>
    </row>
    <row r="77" spans="2:3" s="61" customFormat="1" ht="9" customHeight="1">
      <c r="B77" s="180"/>
      <c r="C77" s="181"/>
    </row>
    <row r="78" spans="2:3" s="53" customFormat="1" ht="14.1" customHeight="1">
      <c r="B78" s="274" t="s">
        <v>22</v>
      </c>
      <c r="C78" s="275" t="s">
        <v>40</v>
      </c>
    </row>
    <row r="79" spans="2:3" s="53" customFormat="1" ht="42.75">
      <c r="B79" s="160" t="s">
        <v>23</v>
      </c>
      <c r="C79" s="354"/>
    </row>
    <row r="80" spans="2:3" s="53" customFormat="1" ht="9.75" customHeight="1">
      <c r="B80" s="182"/>
      <c r="C80" s="183"/>
    </row>
    <row r="81" spans="2:5" s="53" customFormat="1" ht="18" customHeight="1">
      <c r="B81" s="351" t="s">
        <v>25</v>
      </c>
      <c r="C81" s="275" t="s">
        <v>41</v>
      </c>
    </row>
    <row r="82" spans="2:5" s="53" customFormat="1" ht="57">
      <c r="B82" s="160" t="s">
        <v>24</v>
      </c>
      <c r="C82" s="276"/>
    </row>
    <row r="83" spans="2:5" s="53" customFormat="1" ht="14.1" customHeight="1">
      <c r="B83" s="182"/>
      <c r="C83" s="183"/>
    </row>
    <row r="84" spans="2:5" s="53" customFormat="1" ht="18.75" customHeight="1">
      <c r="B84" s="352" t="s">
        <v>26</v>
      </c>
      <c r="C84" s="162"/>
    </row>
    <row r="85" spans="2:5" s="53" customFormat="1" ht="30.75">
      <c r="B85" s="257" t="s">
        <v>27</v>
      </c>
      <c r="C85" s="159" t="s">
        <v>31</v>
      </c>
    </row>
    <row r="86" spans="2:5" s="53" customFormat="1" ht="42" customHeight="1">
      <c r="B86" s="257" t="s">
        <v>28</v>
      </c>
      <c r="C86" s="159" t="s">
        <v>32</v>
      </c>
    </row>
    <row r="87" spans="2:5" s="58" customFormat="1" ht="18" customHeight="1">
      <c r="B87" s="184" t="s">
        <v>29</v>
      </c>
      <c r="C87" s="185" t="s">
        <v>33</v>
      </c>
    </row>
    <row r="88" spans="2:5" s="53" customFormat="1" ht="30.75">
      <c r="B88" s="151" t="s">
        <v>30</v>
      </c>
      <c r="C88" s="159" t="s">
        <v>34</v>
      </c>
    </row>
    <row r="89" spans="2:5" s="53" customFormat="1" ht="6" customHeight="1">
      <c r="B89" s="174"/>
      <c r="C89" s="175"/>
    </row>
    <row r="90" spans="2:5" s="53" customFormat="1" ht="14.1" customHeight="1">
      <c r="B90" s="353" t="s">
        <v>35</v>
      </c>
      <c r="C90" s="166"/>
    </row>
    <row r="91" spans="2:5" s="53" customFormat="1" ht="29.25" customHeight="1">
      <c r="B91" s="151" t="s">
        <v>36</v>
      </c>
      <c r="C91" s="159" t="s">
        <v>38</v>
      </c>
    </row>
    <row r="92" spans="2:5" s="53" customFormat="1" ht="43.5" thickBot="1">
      <c r="B92" s="153" t="s">
        <v>37</v>
      </c>
      <c r="C92" s="186" t="s">
        <v>289</v>
      </c>
    </row>
    <row r="93" spans="2:5" ht="15" thickTop="1">
      <c r="B93" s="170"/>
      <c r="C93" s="56"/>
    </row>
    <row r="94" spans="2:5">
      <c r="C94" s="66"/>
    </row>
    <row r="95" spans="2:5">
      <c r="C95" s="66"/>
      <c r="D95" s="67"/>
      <c r="E95" s="67"/>
    </row>
    <row r="96" spans="2:5">
      <c r="B96" s="192"/>
    </row>
  </sheetData>
  <mergeCells count="10">
    <mergeCell ref="B36:C36"/>
    <mergeCell ref="B72:C72"/>
    <mergeCell ref="C64:C70"/>
    <mergeCell ref="B1:C1"/>
    <mergeCell ref="B2:C2"/>
    <mergeCell ref="C23:C32"/>
    <mergeCell ref="C34:C35"/>
    <mergeCell ref="B15:C15"/>
    <mergeCell ref="B21:C21"/>
    <mergeCell ref="B33:C33"/>
  </mergeCells>
  <phoneticPr fontId="5"/>
  <dataValidations count="2">
    <dataValidation type="list" allowBlank="1" showInputMessage="1" showErrorMessage="1" sqref="C82">
      <formula1>"1, 2, 3"</formula1>
    </dataValidation>
    <dataValidation type="list" allowBlank="1" showInputMessage="1" showErrorMessage="1" sqref="C79">
      <formula1>"1, 2"</formula1>
    </dataValidation>
  </dataValidations>
  <pageMargins left="0.49" right="0.44" top="0.47" bottom="0.37" header="0.32" footer="0.31496062992126"/>
  <pageSetup paperSize="9" scale="58" orientation="portrait" horizontalDpi="4294967293" verticalDpi="4294967293" r:id="rId1"/>
  <headerFooter alignWithMargins="0"/>
  <rowBreaks count="1" manualBreakCount="1">
    <brk id="53" min="1" max="2" man="1"/>
  </rowBreaks>
  <drawing r:id="rId2"/>
</worksheet>
</file>

<file path=xl/worksheets/sheet3.xml><?xml version="1.0" encoding="utf-8"?>
<worksheet xmlns="http://schemas.openxmlformats.org/spreadsheetml/2006/main" xmlns:r="http://schemas.openxmlformats.org/officeDocument/2006/relationships">
  <sheetPr>
    <tabColor indexed="47"/>
  </sheetPr>
  <dimension ref="A1:AJ201"/>
  <sheetViews>
    <sheetView showGridLines="0" topLeftCell="A184" zoomScaleNormal="100" workbookViewId="0">
      <selection activeCell="B17" sqref="B17:B18"/>
    </sheetView>
  </sheetViews>
  <sheetFormatPr defaultRowHeight="14.25"/>
  <cols>
    <col min="1" max="1" width="4.140625" style="1" bestFit="1" customWidth="1"/>
    <col min="2" max="2" width="76.5703125" style="44" customWidth="1"/>
    <col min="3" max="5" width="14.5703125" style="140" customWidth="1"/>
    <col min="6" max="6" width="16.28515625" style="140" customWidth="1"/>
    <col min="7" max="7" width="17.5703125" style="140" customWidth="1"/>
    <col min="8" max="8" width="11.7109375" style="1" bestFit="1" customWidth="1"/>
    <col min="9" max="9" width="9" style="1" bestFit="1" customWidth="1"/>
    <col min="10" max="11" width="12.85546875" style="1" customWidth="1"/>
    <col min="12" max="12" width="9.140625" style="1"/>
    <col min="13" max="13" width="20.5703125" style="1" customWidth="1"/>
    <col min="14" max="16" width="9.140625" style="1"/>
    <col min="17" max="17" width="9" style="68" customWidth="1"/>
    <col min="18" max="35" width="9.140625" style="1"/>
    <col min="36" max="36" width="9" style="68" customWidth="1"/>
    <col min="37" max="16384" width="9.140625" style="1"/>
  </cols>
  <sheetData>
    <row r="1" spans="1:36" ht="3" customHeight="1" thickBot="1"/>
    <row r="2" spans="1:36" ht="63.75" customHeight="1" thickTop="1">
      <c r="B2" s="224" t="s">
        <v>363</v>
      </c>
      <c r="C2" s="377" t="s">
        <v>364</v>
      </c>
      <c r="D2" s="377" t="s">
        <v>365</v>
      </c>
      <c r="E2" s="377" t="s">
        <v>366</v>
      </c>
      <c r="F2" s="377" t="s">
        <v>251</v>
      </c>
      <c r="G2" s="378" t="s">
        <v>252</v>
      </c>
    </row>
    <row r="3" spans="1:36" s="70" customFormat="1" ht="14.1" customHeight="1">
      <c r="A3" s="309"/>
      <c r="B3" s="193" t="s">
        <v>184</v>
      </c>
      <c r="C3" s="69">
        <v>100000</v>
      </c>
      <c r="D3" s="69">
        <v>100000</v>
      </c>
      <c r="E3" s="69">
        <v>100000</v>
      </c>
      <c r="F3" s="69">
        <v>100000</v>
      </c>
      <c r="G3" s="194">
        <v>100000</v>
      </c>
      <c r="Q3" s="71"/>
      <c r="AJ3" s="71"/>
    </row>
    <row r="4" spans="1:36" ht="14.1" customHeight="1">
      <c r="A4" s="22"/>
      <c r="B4" s="195" t="s">
        <v>186</v>
      </c>
      <c r="C4" s="73">
        <v>0.5</v>
      </c>
      <c r="D4" s="73">
        <v>0.5</v>
      </c>
      <c r="E4" s="73">
        <v>0.5</v>
      </c>
      <c r="F4" s="73">
        <v>0.5</v>
      </c>
      <c r="G4" s="196">
        <v>0.5</v>
      </c>
      <c r="J4" s="74"/>
    </row>
    <row r="5" spans="1:36" ht="14.1" customHeight="1">
      <c r="A5" s="22"/>
      <c r="B5" s="195" t="s">
        <v>187</v>
      </c>
      <c r="C5" s="75">
        <v>95</v>
      </c>
      <c r="D5" s="75">
        <v>90</v>
      </c>
      <c r="E5" s="75">
        <v>90</v>
      </c>
      <c r="F5" s="75">
        <v>90</v>
      </c>
      <c r="G5" s="197" t="s">
        <v>191</v>
      </c>
      <c r="J5" s="74"/>
    </row>
    <row r="6" spans="1:36" ht="15.75" customHeight="1">
      <c r="A6" s="309"/>
      <c r="B6" s="195" t="s">
        <v>42</v>
      </c>
      <c r="C6" s="75">
        <v>95</v>
      </c>
      <c r="D6" s="75">
        <v>85</v>
      </c>
      <c r="E6" s="75">
        <v>75</v>
      </c>
      <c r="F6" s="75">
        <v>65</v>
      </c>
      <c r="G6" s="198">
        <v>40</v>
      </c>
    </row>
    <row r="7" spans="1:36" ht="18.75" customHeight="1">
      <c r="A7" s="22"/>
      <c r="B7" s="195" t="s">
        <v>174</v>
      </c>
      <c r="C7" s="75">
        <v>95</v>
      </c>
      <c r="D7" s="75">
        <v>85</v>
      </c>
      <c r="E7" s="75">
        <v>75</v>
      </c>
      <c r="F7" s="75">
        <v>65</v>
      </c>
      <c r="G7" s="198">
        <v>40</v>
      </c>
    </row>
    <row r="8" spans="1:36" ht="19.5" customHeight="1">
      <c r="A8" s="22"/>
      <c r="B8" s="195" t="s">
        <v>290</v>
      </c>
      <c r="C8" s="75">
        <v>16</v>
      </c>
      <c r="D8" s="75">
        <v>16</v>
      </c>
      <c r="E8" s="75">
        <v>16</v>
      </c>
      <c r="F8" s="75">
        <v>16</v>
      </c>
      <c r="G8" s="198">
        <v>16</v>
      </c>
    </row>
    <row r="9" spans="1:36">
      <c r="A9" s="22"/>
      <c r="B9" s="195" t="s">
        <v>43</v>
      </c>
      <c r="C9" s="104">
        <v>14</v>
      </c>
      <c r="D9" s="104">
        <v>14</v>
      </c>
      <c r="E9" s="104">
        <v>14</v>
      </c>
      <c r="F9" s="104">
        <v>14</v>
      </c>
      <c r="G9" s="324">
        <v>14</v>
      </c>
    </row>
    <row r="10" spans="1:36" s="68" customFormat="1" ht="42.75">
      <c r="A10" s="22"/>
      <c r="B10" s="199" t="s">
        <v>291</v>
      </c>
      <c r="C10" s="63">
        <f>32+(C9*1.57)</f>
        <v>53.980000000000004</v>
      </c>
      <c r="D10" s="63">
        <f>32+(D9*1.57)</f>
        <v>53.980000000000004</v>
      </c>
      <c r="E10" s="63">
        <f>32+(E9*1.57)</f>
        <v>53.980000000000004</v>
      </c>
      <c r="F10" s="63">
        <f>32+(F9*1.57)</f>
        <v>53.980000000000004</v>
      </c>
      <c r="G10" s="200">
        <f>32+(G9*1.57)</f>
        <v>53.980000000000004</v>
      </c>
    </row>
    <row r="11" spans="1:36" s="68" customFormat="1" ht="42.75">
      <c r="A11" s="309"/>
      <c r="B11" s="199" t="s">
        <v>292</v>
      </c>
      <c r="C11" s="63">
        <f>15+(C9*0.51)</f>
        <v>22.14</v>
      </c>
      <c r="D11" s="63">
        <f>15+(D9*0.51)</f>
        <v>22.14</v>
      </c>
      <c r="E11" s="63">
        <f>15+(E9*0.51)</f>
        <v>22.14</v>
      </c>
      <c r="F11" s="63">
        <f>15+(F9*0.51)</f>
        <v>22.14</v>
      </c>
      <c r="G11" s="200">
        <f>15+(G9*0.51)</f>
        <v>22.14</v>
      </c>
    </row>
    <row r="12" spans="1:36" s="68" customFormat="1" ht="42.75">
      <c r="A12" s="22"/>
      <c r="B12" s="199" t="s">
        <v>293</v>
      </c>
      <c r="C12" s="63">
        <v>2</v>
      </c>
      <c r="D12" s="63">
        <v>2</v>
      </c>
      <c r="E12" s="63">
        <v>2</v>
      </c>
      <c r="F12" s="63">
        <v>2</v>
      </c>
      <c r="G12" s="200">
        <v>2</v>
      </c>
    </row>
    <row r="13" spans="1:36" s="68" customFormat="1" ht="42.75">
      <c r="A13" s="22"/>
      <c r="B13" s="199" t="s">
        <v>294</v>
      </c>
      <c r="C13" s="63">
        <v>0.5</v>
      </c>
      <c r="D13" s="63">
        <v>0.5</v>
      </c>
      <c r="E13" s="63">
        <v>0.5</v>
      </c>
      <c r="F13" s="63">
        <v>0.5</v>
      </c>
      <c r="G13" s="200">
        <v>0.5</v>
      </c>
    </row>
    <row r="14" spans="1:36">
      <c r="A14" s="22"/>
      <c r="B14" s="199" t="s">
        <v>45</v>
      </c>
      <c r="C14" s="210">
        <f>C3*C4/100</f>
        <v>500</v>
      </c>
      <c r="D14" s="210">
        <f>D3*D4/100</f>
        <v>500</v>
      </c>
      <c r="E14" s="210">
        <f>E3*E4/100</f>
        <v>500</v>
      </c>
      <c r="F14" s="210">
        <f>F3*F4/100</f>
        <v>500</v>
      </c>
      <c r="G14" s="211">
        <f>G3*G4/100</f>
        <v>500</v>
      </c>
    </row>
    <row r="15" spans="1:36">
      <c r="A15" s="309"/>
      <c r="B15" s="199" t="s">
        <v>46</v>
      </c>
      <c r="C15" s="210">
        <f>C3*C4/100*C5/100*C6/100*C7/100</f>
        <v>428.6875</v>
      </c>
      <c r="D15" s="210">
        <f>D3*D4/100*D5/100*D6/100*D7/100</f>
        <v>325.125</v>
      </c>
      <c r="E15" s="210">
        <f>E3*E4/100*E5/100*E6/100*E7/100</f>
        <v>253.125</v>
      </c>
      <c r="F15" s="210">
        <f>F3*F4/100*F5/100*F6/100*F7/100</f>
        <v>190.125</v>
      </c>
      <c r="G15" s="211">
        <f>G3*G4/100*G7/100</f>
        <v>200</v>
      </c>
    </row>
    <row r="16" spans="1:36" s="79" customFormat="1" ht="28.5">
      <c r="A16" s="22"/>
      <c r="B16" s="201" t="s">
        <v>47</v>
      </c>
      <c r="C16" s="311">
        <f>(C15-(C14*C8/100))*2/100+(C14*C8/100)*0.5/100</f>
        <v>7.3737500000000002</v>
      </c>
      <c r="D16" s="311">
        <f>(D15-(D14*D8/100))*2/100+(D14*D8/100)*0.5/100</f>
        <v>5.3025000000000002</v>
      </c>
      <c r="E16" s="311">
        <f>(E15-(E14*E8/100))*2/100+(E14*E8/100)*0.5/100</f>
        <v>3.8624999999999998</v>
      </c>
      <c r="F16" s="311">
        <f>(F15-(F14*F8/100))*2/100+(F14*F8/100)*0.5/100</f>
        <v>2.6025</v>
      </c>
      <c r="G16" s="325">
        <f>(G15-(G14*G8/100))*2/100+(G14*G8/100)*0.5/100</f>
        <v>2.8</v>
      </c>
      <c r="K16" s="80"/>
      <c r="Q16" s="81"/>
      <c r="AJ16" s="81"/>
    </row>
    <row r="17" spans="1:36" s="79" customFormat="1" ht="15" customHeight="1">
      <c r="A17" s="22"/>
      <c r="B17" s="400" t="s">
        <v>298</v>
      </c>
      <c r="C17" s="312">
        <f>C3*C4/100*C5/100*C6/100*(1-C7/100)</f>
        <v>22.562500000000021</v>
      </c>
      <c r="D17" s="312">
        <f>D3*D4/100*D5/100*D6/100*(1-D7/100)</f>
        <v>57.375000000000007</v>
      </c>
      <c r="E17" s="312">
        <f>E3*E4/100*E5/100*E6/100*(1-E7/100)</f>
        <v>84.375</v>
      </c>
      <c r="F17" s="312">
        <f>F3*F4/100*F5/100*F6/100*(1-F7/100)</f>
        <v>102.375</v>
      </c>
      <c r="G17" s="326"/>
      <c r="Q17" s="81"/>
      <c r="AJ17" s="81"/>
    </row>
    <row r="18" spans="1:36" s="79" customFormat="1" ht="21.75" customHeight="1">
      <c r="A18" s="22"/>
      <c r="B18" s="401"/>
      <c r="C18" s="313">
        <f>(C17*C53/100*C10/100)+(C65*C17/100*C11/100)</f>
        <v>7.8688975000000081</v>
      </c>
      <c r="D18" s="313">
        <f>(D17*D53/100*D10/100)+(D65*D17/100*D11/100)</f>
        <v>20.010105000000003</v>
      </c>
      <c r="E18" s="313">
        <f>(E17*E53/100*E10/100)+(E65*E17/100*E11/100)</f>
        <v>29.426625000000001</v>
      </c>
      <c r="F18" s="313">
        <f>(F17*F53/100*F10/100)+(F65*F17/100*F11/100)</f>
        <v>35.704304999999998</v>
      </c>
      <c r="G18" s="327">
        <v>0</v>
      </c>
      <c r="Q18" s="81"/>
      <c r="AJ18" s="81"/>
    </row>
    <row r="19" spans="1:36" s="79" customFormat="1">
      <c r="A19" s="22"/>
      <c r="B19" s="400" t="s">
        <v>48</v>
      </c>
      <c r="C19" s="312">
        <f>C14*C5/100*(100-C6)/100</f>
        <v>23.75</v>
      </c>
      <c r="D19" s="312">
        <f>D14*D5/100*(100-D6)/100</f>
        <v>67.5</v>
      </c>
      <c r="E19" s="312">
        <f>E14*E5/100*(100-E6)/100</f>
        <v>112.5</v>
      </c>
      <c r="F19" s="312">
        <f>F14*F5/100*(100-F6)/100</f>
        <v>157.5</v>
      </c>
      <c r="G19" s="326">
        <f>G14*(1-G7/100)</f>
        <v>300</v>
      </c>
      <c r="Q19" s="81"/>
      <c r="AJ19" s="81"/>
    </row>
    <row r="20" spans="1:36" s="79" customFormat="1" ht="37.5" customHeight="1">
      <c r="A20" s="22"/>
      <c r="B20" s="401"/>
      <c r="C20" s="313">
        <f>(C19*C53/100*C10/100)+(C19*C65/100*C11/100)</f>
        <v>8.2830500000000011</v>
      </c>
      <c r="D20" s="313">
        <f>(D19*D53/100*D10/100)+(D19*D65/100*D11/100)</f>
        <v>23.5413</v>
      </c>
      <c r="E20" s="313">
        <f>(E19*E53/100*E10/100)+(E19*E65/100*E11/100)</f>
        <v>39.235500000000002</v>
      </c>
      <c r="F20" s="313">
        <f>(F19*F53/100*F10/100)+(F19*F65/100*F11/100)</f>
        <v>54.929700000000004</v>
      </c>
      <c r="G20" s="327">
        <f>(G19*G53/100*G10/100)+(G19*G65/100*G11/100)</f>
        <v>104.62800000000001</v>
      </c>
      <c r="Q20" s="81"/>
      <c r="AJ20" s="81"/>
    </row>
    <row r="21" spans="1:36" s="82" customFormat="1">
      <c r="A21" s="309"/>
      <c r="B21" s="201" t="s">
        <v>49</v>
      </c>
      <c r="C21" s="314">
        <f>C16+C18+C20</f>
        <v>23.525697500000007</v>
      </c>
      <c r="D21" s="314">
        <f>D16+D18+D20</f>
        <v>48.853905000000005</v>
      </c>
      <c r="E21" s="314">
        <f>E16+E18+E20</f>
        <v>72.524625</v>
      </c>
      <c r="F21" s="314">
        <f>F16+F18+F20</f>
        <v>93.236504999999994</v>
      </c>
      <c r="G21" s="329">
        <f>G16+G18+G20</f>
        <v>107.42800000000001</v>
      </c>
      <c r="Q21" s="83"/>
      <c r="AJ21" s="83"/>
    </row>
    <row r="22" spans="1:36" s="82" customFormat="1">
      <c r="A22" s="309"/>
      <c r="B22" s="201" t="s">
        <v>50</v>
      </c>
      <c r="C22" s="310">
        <f>(C21*100/C14)</f>
        <v>4.7051395000000014</v>
      </c>
      <c r="D22" s="310">
        <f>(D21*100/D14)</f>
        <v>9.7707810000000013</v>
      </c>
      <c r="E22" s="310">
        <f>(E21*100/E14)</f>
        <v>14.504925</v>
      </c>
      <c r="F22" s="310">
        <f>(F21*100/F14)</f>
        <v>18.647300999999999</v>
      </c>
      <c r="G22" s="330">
        <f>(G21*100/G14)</f>
        <v>21.485600000000002</v>
      </c>
      <c r="Q22" s="83"/>
      <c r="AJ22" s="83"/>
    </row>
    <row r="23" spans="1:36" s="82" customFormat="1" ht="18" customHeight="1">
      <c r="A23" s="22"/>
      <c r="B23" s="201" t="s">
        <v>51</v>
      </c>
      <c r="C23" s="218">
        <f>(C14*C53/100*C10/100)+(C14*C65/100*C11/100)-C21</f>
        <v>150.85430249999999</v>
      </c>
      <c r="D23" s="218">
        <f>(D14*D53/100*D10/100)+(D14*D65/100*D11/100)-D21</f>
        <v>125.526095</v>
      </c>
      <c r="E23" s="218">
        <f>(E14*E53/100*E10/100)+(E14*E65/100*E11/100)-E21</f>
        <v>101.855375</v>
      </c>
      <c r="F23" s="218">
        <f>(F14*F53/100*F10/100)+(F14*F65/100*F11/100)-F21</f>
        <v>81.143495000000001</v>
      </c>
      <c r="G23" s="328">
        <f>(G14*G53/100*G10/100)+(G14*G65/100*G11/100)-G21</f>
        <v>66.951999999999984</v>
      </c>
      <c r="Q23" s="83"/>
      <c r="AJ23" s="83"/>
    </row>
    <row r="24" spans="1:36" s="82" customFormat="1">
      <c r="B24" s="319"/>
      <c r="C24" s="148"/>
      <c r="D24" s="148"/>
      <c r="E24" s="148"/>
      <c r="F24" s="148"/>
      <c r="G24" s="320"/>
      <c r="Q24" s="83"/>
      <c r="AJ24" s="83"/>
    </row>
    <row r="25" spans="1:36" s="82" customFormat="1" ht="21.75" customHeight="1">
      <c r="B25" s="225" t="s">
        <v>190</v>
      </c>
      <c r="C25" s="84"/>
      <c r="D25" s="84"/>
      <c r="E25" s="84"/>
      <c r="F25" s="84"/>
      <c r="G25" s="202"/>
      <c r="Q25" s="83"/>
      <c r="AJ25" s="83"/>
    </row>
    <row r="26" spans="1:36" s="82" customFormat="1" ht="18.75" customHeight="1">
      <c r="B26" s="403" t="s">
        <v>441</v>
      </c>
      <c r="C26" s="404"/>
      <c r="D26" s="404"/>
      <c r="E26" s="404"/>
      <c r="F26" s="404"/>
      <c r="G26" s="405"/>
      <c r="Q26" s="83"/>
      <c r="AJ26" s="83"/>
    </row>
    <row r="27" spans="1:36" ht="14.1" customHeight="1">
      <c r="B27" s="195" t="s">
        <v>442</v>
      </c>
      <c r="C27" s="73">
        <v>1</v>
      </c>
      <c r="D27" s="73">
        <v>1</v>
      </c>
      <c r="E27" s="73">
        <v>1</v>
      </c>
      <c r="F27" s="73">
        <v>1</v>
      </c>
      <c r="G27" s="196">
        <v>1</v>
      </c>
    </row>
    <row r="28" spans="1:36" ht="14.1" customHeight="1">
      <c r="B28" s="203" t="s">
        <v>443</v>
      </c>
      <c r="C28" s="73">
        <v>2</v>
      </c>
      <c r="D28" s="73">
        <v>2</v>
      </c>
      <c r="E28" s="73">
        <v>2</v>
      </c>
      <c r="F28" s="73">
        <v>2</v>
      </c>
      <c r="G28" s="196">
        <v>2</v>
      </c>
    </row>
    <row r="29" spans="1:36" s="68" customFormat="1">
      <c r="B29" s="204" t="s">
        <v>52</v>
      </c>
      <c r="C29" s="206">
        <f>C3*C5/100*C6/100*C27</f>
        <v>90250</v>
      </c>
      <c r="D29" s="206">
        <f>D3*D5/100*D6/100*D27</f>
        <v>76500</v>
      </c>
      <c r="E29" s="206">
        <f>E3*E5/100*E6/100*E27</f>
        <v>67500</v>
      </c>
      <c r="F29" s="206">
        <f>F3*F5/100*F6/100*F27</f>
        <v>58500</v>
      </c>
      <c r="G29" s="207">
        <f>G3*G6/100*G27</f>
        <v>40000</v>
      </c>
    </row>
    <row r="30" spans="1:36" s="68" customFormat="1">
      <c r="B30" s="204" t="s">
        <v>53</v>
      </c>
      <c r="C30" s="206">
        <f>C3*C4/100*C5/100*C6/100*C28</f>
        <v>902.5</v>
      </c>
      <c r="D30" s="206">
        <f>D3*D4/100*D5/100*D6/100*D28</f>
        <v>765</v>
      </c>
      <c r="E30" s="206">
        <f>E3*E4/100*E5/100*E6/100*E28</f>
        <v>675</v>
      </c>
      <c r="F30" s="206">
        <f>F3*F4/100*F5/100*F6/100*F28</f>
        <v>585</v>
      </c>
      <c r="G30" s="207">
        <f>G3*G4/100*G6/100*G28</f>
        <v>400</v>
      </c>
    </row>
    <row r="31" spans="1:36" s="68" customFormat="1">
      <c r="B31" s="204" t="s">
        <v>54</v>
      </c>
      <c r="C31" s="206">
        <f>C3*C4/100*C5/100*C6/100*C27</f>
        <v>451.25</v>
      </c>
      <c r="D31" s="206">
        <f>D3*D4/100*D5/100*D6/100*D27</f>
        <v>382.5</v>
      </c>
      <c r="E31" s="206">
        <f>E3*E4/100*E5/100*E6/100*E27</f>
        <v>337.5</v>
      </c>
      <c r="F31" s="206">
        <f>F3*F4/100*F5/100*F6/100*F27</f>
        <v>292.5</v>
      </c>
      <c r="G31" s="207">
        <f>G3*G4/100*G6/100*G27</f>
        <v>200</v>
      </c>
    </row>
    <row r="32" spans="1:36" ht="14.1" customHeight="1">
      <c r="B32" s="195" t="s">
        <v>446</v>
      </c>
      <c r="C32" s="73">
        <v>16</v>
      </c>
      <c r="D32" s="73">
        <v>16</v>
      </c>
      <c r="E32" s="73">
        <v>16</v>
      </c>
      <c r="F32" s="73">
        <v>16</v>
      </c>
      <c r="G32" s="196">
        <v>16</v>
      </c>
    </row>
    <row r="33" spans="1:8" s="68" customFormat="1" ht="14.1" customHeight="1">
      <c r="B33" s="204" t="s">
        <v>55</v>
      </c>
      <c r="C33" s="206">
        <f>C3*C4/100*C5/100*C6/100*C32</f>
        <v>7220</v>
      </c>
      <c r="D33" s="206">
        <f>D3*D4/100*D5/100*D6/100*D32</f>
        <v>6120</v>
      </c>
      <c r="E33" s="206">
        <f>E3*E4/100*E5/100*E6/100*E32</f>
        <v>5400</v>
      </c>
      <c r="F33" s="206">
        <f>F3*F4/100*F5/100*F6/100*F32</f>
        <v>4680</v>
      </c>
      <c r="G33" s="207">
        <f>G3*G4/100*G6/100*G32</f>
        <v>3200</v>
      </c>
    </row>
    <row r="34" spans="1:8" ht="14.1" customHeight="1">
      <c r="B34" s="195" t="s">
        <v>448</v>
      </c>
      <c r="C34" s="73">
        <v>10</v>
      </c>
      <c r="D34" s="73">
        <v>10</v>
      </c>
      <c r="E34" s="73">
        <v>10</v>
      </c>
      <c r="F34" s="73">
        <v>10</v>
      </c>
      <c r="G34" s="196">
        <v>10</v>
      </c>
    </row>
    <row r="35" spans="1:8" s="68" customFormat="1">
      <c r="B35" s="204" t="s">
        <v>56</v>
      </c>
      <c r="C35" s="206">
        <f>C3*C4/100*C5/100*C6/100*C34*2</f>
        <v>9025</v>
      </c>
      <c r="D35" s="206">
        <f>D3*D4/100*D5/100*D6/100*D34*2</f>
        <v>7650</v>
      </c>
      <c r="E35" s="206">
        <f>E3*E4/100*E5/100*E6/100*E34*2</f>
        <v>6750</v>
      </c>
      <c r="F35" s="206">
        <f>F3*F4/100*F5/100*F6/100*F34*2</f>
        <v>5850</v>
      </c>
      <c r="G35" s="207">
        <f>G3*G4/100*G6/100*G34*2</f>
        <v>4000</v>
      </c>
    </row>
    <row r="36" spans="1:8" s="68" customFormat="1">
      <c r="B36" s="195" t="s">
        <v>57</v>
      </c>
      <c r="C36" s="73">
        <v>40</v>
      </c>
      <c r="D36" s="73">
        <v>40</v>
      </c>
      <c r="E36" s="73">
        <v>40</v>
      </c>
      <c r="F36" s="73">
        <v>40</v>
      </c>
      <c r="G36" s="196">
        <v>40</v>
      </c>
    </row>
    <row r="37" spans="1:8" s="68" customFormat="1" ht="15" thickBot="1">
      <c r="B37" s="205" t="s">
        <v>58</v>
      </c>
      <c r="C37" s="208">
        <f>C3*C4/100*C5/100*C6/100*C36*2</f>
        <v>36100</v>
      </c>
      <c r="D37" s="208">
        <f>D3*D4/100*D5/100*D6/100*D36*2</f>
        <v>30600</v>
      </c>
      <c r="E37" s="208">
        <f>E3*E4/100*E5/100*E6/100*E36*2</f>
        <v>27000</v>
      </c>
      <c r="F37" s="208">
        <f>F3*F4/100*F5/100*F6/100*F36*2</f>
        <v>23400</v>
      </c>
      <c r="G37" s="209">
        <f>G3*G4/100*G6/100*G36*2</f>
        <v>16000</v>
      </c>
    </row>
    <row r="38" spans="1:8" ht="14.1" customHeight="1" thickTop="1">
      <c r="A38" s="86"/>
      <c r="B38" s="105"/>
      <c r="C38" s="74"/>
      <c r="D38" s="74"/>
      <c r="E38" s="74"/>
      <c r="F38" s="74"/>
      <c r="G38" s="74"/>
      <c r="H38" s="86"/>
    </row>
    <row r="39" spans="1:8" ht="15" customHeight="1">
      <c r="A39" s="86"/>
      <c r="B39" s="406" t="s">
        <v>453</v>
      </c>
      <c r="C39" s="406"/>
      <c r="D39" s="406"/>
      <c r="E39" s="406"/>
      <c r="F39" s="406"/>
      <c r="G39" s="406"/>
    </row>
    <row r="40" spans="1:8" ht="15" customHeight="1">
      <c r="A40" s="86"/>
      <c r="B40" s="282" t="s">
        <v>59</v>
      </c>
      <c r="C40" s="89"/>
      <c r="D40" s="89"/>
      <c r="E40" s="402" t="s">
        <v>216</v>
      </c>
      <c r="F40" s="402"/>
      <c r="G40" s="89"/>
    </row>
    <row r="41" spans="1:8" ht="15" customHeight="1">
      <c r="A41" s="86"/>
      <c r="B41" s="134" t="s">
        <v>193</v>
      </c>
      <c r="C41" s="90">
        <v>0.26</v>
      </c>
      <c r="D41" s="89"/>
      <c r="E41" s="91" t="s">
        <v>60</v>
      </c>
      <c r="F41" s="90">
        <v>5</v>
      </c>
      <c r="G41" s="89"/>
    </row>
    <row r="42" spans="1:8" ht="15" customHeight="1">
      <c r="A42" s="86"/>
      <c r="B42" s="287" t="s">
        <v>360</v>
      </c>
      <c r="C42" s="90">
        <v>0.01</v>
      </c>
      <c r="D42" s="89"/>
      <c r="E42" s="91" t="s">
        <v>269</v>
      </c>
      <c r="F42" s="90">
        <v>20</v>
      </c>
      <c r="G42" s="89"/>
    </row>
    <row r="43" spans="1:8" ht="15" customHeight="1">
      <c r="A43" s="86"/>
      <c r="B43" s="287" t="s">
        <v>195</v>
      </c>
      <c r="C43" s="90">
        <v>0.11</v>
      </c>
      <c r="D43" s="89"/>
      <c r="E43" s="89"/>
      <c r="F43" s="89"/>
      <c r="G43" s="89"/>
    </row>
    <row r="44" spans="1:8" ht="15" customHeight="1">
      <c r="A44" s="86"/>
      <c r="B44" s="287" t="s">
        <v>196</v>
      </c>
      <c r="C44" s="90">
        <v>0.14000000000000001</v>
      </c>
      <c r="D44" s="89"/>
      <c r="E44" s="89"/>
      <c r="F44" s="89"/>
      <c r="G44" s="89"/>
    </row>
    <row r="45" spans="1:8" ht="15" customHeight="1">
      <c r="A45" s="86"/>
      <c r="B45" s="287" t="s">
        <v>197</v>
      </c>
      <c r="C45" s="90">
        <v>0.18</v>
      </c>
      <c r="D45" s="89"/>
      <c r="E45" s="89"/>
      <c r="F45" s="89"/>
      <c r="G45" s="89"/>
    </row>
    <row r="46" spans="1:8" ht="15" customHeight="1">
      <c r="A46" s="86"/>
      <c r="B46" s="287" t="s">
        <v>198</v>
      </c>
      <c r="C46" s="90">
        <v>0.14000000000000001</v>
      </c>
      <c r="D46" s="89"/>
      <c r="E46" s="89"/>
      <c r="F46" s="89"/>
      <c r="G46" s="89"/>
    </row>
    <row r="47" spans="1:8" ht="15" customHeight="1">
      <c r="A47" s="86"/>
      <c r="B47" s="287" t="s">
        <v>199</v>
      </c>
      <c r="C47" s="90">
        <v>0.28999999999999998</v>
      </c>
      <c r="D47" s="89"/>
      <c r="E47" s="89"/>
      <c r="F47" s="89"/>
      <c r="G47" s="89"/>
    </row>
    <row r="48" spans="1:8" ht="15" customHeight="1">
      <c r="A48" s="86"/>
      <c r="B48" s="287" t="s">
        <v>458</v>
      </c>
      <c r="C48" s="90">
        <v>0.01</v>
      </c>
      <c r="D48" s="89"/>
      <c r="E48" s="89"/>
      <c r="F48" s="89"/>
      <c r="G48" s="89"/>
    </row>
    <row r="49" spans="1:8" ht="15" customHeight="1">
      <c r="A49" s="86"/>
      <c r="B49" s="287" t="s">
        <v>201</v>
      </c>
      <c r="C49" s="90">
        <v>0.57999999999999996</v>
      </c>
      <c r="D49" s="89"/>
      <c r="E49" s="89"/>
      <c r="F49" s="89"/>
      <c r="G49" s="89"/>
    </row>
    <row r="50" spans="1:8" ht="15" customHeight="1">
      <c r="A50" s="86"/>
      <c r="B50" s="287" t="s">
        <v>202</v>
      </c>
      <c r="C50" s="90">
        <v>0.66</v>
      </c>
      <c r="D50" s="89"/>
      <c r="E50" s="89"/>
      <c r="F50" s="89"/>
      <c r="G50" s="89"/>
    </row>
    <row r="51" spans="1:8" ht="15" customHeight="1">
      <c r="A51" s="86"/>
      <c r="B51" s="92"/>
      <c r="C51" s="93"/>
      <c r="D51" s="89"/>
      <c r="E51" s="89"/>
      <c r="F51" s="89"/>
      <c r="G51" s="89"/>
    </row>
    <row r="52" spans="1:8" ht="13.5" customHeight="1">
      <c r="A52" s="86"/>
      <c r="B52" s="399" t="s">
        <v>61</v>
      </c>
      <c r="C52" s="399"/>
      <c r="D52" s="399"/>
      <c r="E52" s="399"/>
      <c r="F52" s="399"/>
      <c r="G52" s="399"/>
    </row>
    <row r="53" spans="1:8" ht="30.75" customHeight="1">
      <c r="B53" s="72" t="s">
        <v>62</v>
      </c>
      <c r="C53" s="73">
        <v>40</v>
      </c>
      <c r="D53" s="73">
        <v>40</v>
      </c>
      <c r="E53" s="73">
        <v>40</v>
      </c>
      <c r="F53" s="73">
        <v>40</v>
      </c>
      <c r="G53" s="73">
        <v>40</v>
      </c>
    </row>
    <row r="54" spans="1:8" ht="30.75" customHeight="1">
      <c r="B54" s="72" t="s">
        <v>63</v>
      </c>
      <c r="C54" s="73">
        <v>100</v>
      </c>
      <c r="D54" s="73">
        <v>100</v>
      </c>
      <c r="E54" s="73">
        <v>100</v>
      </c>
      <c r="F54" s="73">
        <v>100</v>
      </c>
      <c r="G54" s="73">
        <v>100</v>
      </c>
    </row>
    <row r="55" spans="1:8" ht="30.75" customHeight="1">
      <c r="B55" s="76" t="s">
        <v>64</v>
      </c>
      <c r="C55" s="59">
        <f>100-C54</f>
        <v>0</v>
      </c>
      <c r="D55" s="59">
        <f>100-D54</f>
        <v>0</v>
      </c>
      <c r="E55" s="59">
        <f>100-E54</f>
        <v>0</v>
      </c>
      <c r="F55" s="59">
        <f>100-F54</f>
        <v>0</v>
      </c>
      <c r="G55" s="59">
        <f>100-G54</f>
        <v>0</v>
      </c>
    </row>
    <row r="56" spans="1:8" s="68" customFormat="1">
      <c r="B56" s="76" t="s">
        <v>65</v>
      </c>
      <c r="C56" s="260">
        <v>2</v>
      </c>
      <c r="D56" s="260">
        <v>2</v>
      </c>
      <c r="E56" s="260">
        <v>2</v>
      </c>
      <c r="F56" s="260">
        <v>2</v>
      </c>
      <c r="G56" s="260">
        <v>2</v>
      </c>
    </row>
    <row r="57" spans="1:8">
      <c r="B57" s="76" t="s">
        <v>66</v>
      </c>
      <c r="C57" s="60">
        <f ca="1">'6. Drug Costs for PMTCT'!$K$15</f>
        <v>66.149999999999991</v>
      </c>
      <c r="D57" s="60">
        <f ca="1">'6. Drug Costs for PMTCT'!$K$15</f>
        <v>66.149999999999991</v>
      </c>
      <c r="E57" s="60">
        <f ca="1">'6. Drug Costs for PMTCT'!$K$15</f>
        <v>66.149999999999991</v>
      </c>
      <c r="F57" s="60">
        <f ca="1">'6. Drug Costs for PMTCT'!$K$15</f>
        <v>66.149999999999991</v>
      </c>
      <c r="G57" s="60">
        <f ca="1">'6. Drug Costs for PMTCT'!$K$15</f>
        <v>66.149999999999991</v>
      </c>
    </row>
    <row r="58" spans="1:8">
      <c r="B58" s="76" t="s">
        <v>67</v>
      </c>
      <c r="C58" s="60">
        <f ca="1">'6. Drug Costs for PMTCT'!$K$16+'6. Drug Costs for PMTCT'!$K$17</f>
        <v>264.59999999999997</v>
      </c>
      <c r="D58" s="60">
        <f ca="1">'6. Drug Costs for PMTCT'!$K$16+'6. Drug Costs for PMTCT'!$K$17</f>
        <v>264.59999999999997</v>
      </c>
      <c r="E58" s="60">
        <f ca="1">'6. Drug Costs for PMTCT'!$K$16+'6. Drug Costs for PMTCT'!$K$17</f>
        <v>264.59999999999997</v>
      </c>
      <c r="F58" s="60">
        <f ca="1">'6. Drug Costs for PMTCT'!$K$16+'6. Drug Costs for PMTCT'!$K$17</f>
        <v>264.59999999999997</v>
      </c>
      <c r="G58" s="60">
        <f ca="1">'6. Drug Costs for PMTCT'!$K$16+'6. Drug Costs for PMTCT'!$K$17</f>
        <v>264.59999999999997</v>
      </c>
    </row>
    <row r="59" spans="1:8" s="68" customFormat="1" ht="14.1" customHeight="1">
      <c r="B59" s="76" t="s">
        <v>68</v>
      </c>
      <c r="C59" s="64">
        <f ca="1">IF(C56=1, '6. Drug Costs for PMTCT'!$K$18, IF(C56=2, '6. Drug Costs for PMTCT'!$K$19))</f>
        <v>2</v>
      </c>
      <c r="D59" s="64">
        <f ca="1">IF(D56=1, '6. Drug Costs for PMTCT'!$K$18, IF(D56=2, '6. Drug Costs for PMTCT'!$K$19))</f>
        <v>2</v>
      </c>
      <c r="E59" s="64">
        <f ca="1">IF(E56=1, '6. Drug Costs for PMTCT'!$K$18, IF(E56=2, '6. Drug Costs for PMTCT'!$K$19))</f>
        <v>2</v>
      </c>
      <c r="F59" s="64">
        <f ca="1">IF(F56=1, '6. Drug Costs for PMTCT'!$K$18, IF(F56=2, '6. Drug Costs for PMTCT'!$K$19))</f>
        <v>2</v>
      </c>
      <c r="G59" s="64">
        <f ca="1">IF(G56=1, '6. Drug Costs for PMTCT'!$K$18, IF(G56=2, '6. Drug Costs for PMTCT'!$K$19))</f>
        <v>2</v>
      </c>
    </row>
    <row r="60" spans="1:8" s="68" customFormat="1">
      <c r="B60" s="76" t="s">
        <v>301</v>
      </c>
      <c r="C60" s="64">
        <f>C57*C15*C53/100*C54/100+C58*C15*C53/100*C55/100</f>
        <v>11343.071249999997</v>
      </c>
      <c r="D60" s="64">
        <f>D57*D15*D53/100*D54/100+D58*D15*D53/100*D55/100</f>
        <v>8602.8074999999972</v>
      </c>
      <c r="E60" s="64">
        <f>E57*E15*E53/100*E54/100+E58*E15*E53/100*E55/100</f>
        <v>6697.6874999999991</v>
      </c>
      <c r="F60" s="64">
        <f>F57*F15*F53/100*F54/100+F58*F15*F53/100*F55/100</f>
        <v>5030.7075000000004</v>
      </c>
      <c r="G60" s="64">
        <f>G57*G15*G53/100*G54/100+G58*G15*G53/100*G55/100</f>
        <v>5291.9999999999991</v>
      </c>
    </row>
    <row r="61" spans="1:8" s="68" customFormat="1" ht="28.5">
      <c r="B61" s="76" t="s">
        <v>302</v>
      </c>
      <c r="C61" s="64">
        <f>C59*C15*C53/100</f>
        <v>342.95</v>
      </c>
      <c r="D61" s="64">
        <f>D59*D15*D53/100</f>
        <v>260.10000000000002</v>
      </c>
      <c r="E61" s="64">
        <f>E59*E15*E53/100</f>
        <v>202.5</v>
      </c>
      <c r="F61" s="64">
        <f>F59*F15*F53/100</f>
        <v>152.1</v>
      </c>
      <c r="G61" s="64">
        <f>G59*G15*G53/100</f>
        <v>160</v>
      </c>
    </row>
    <row r="62" spans="1:8" s="68" customFormat="1" ht="14.25" customHeight="1">
      <c r="B62" s="355" t="s">
        <v>69</v>
      </c>
      <c r="C62" s="95">
        <f>C60+C61</f>
        <v>11686.021249999998</v>
      </c>
      <c r="D62" s="95">
        <f>D60+D61</f>
        <v>8862.9074999999975</v>
      </c>
      <c r="E62" s="95">
        <f>E60+E61</f>
        <v>6900.1874999999991</v>
      </c>
      <c r="F62" s="95">
        <f>F60+F61</f>
        <v>5182.8075000000008</v>
      </c>
      <c r="G62" s="95">
        <f>G60+G61</f>
        <v>5451.9999999999991</v>
      </c>
    </row>
    <row r="63" spans="1:8" s="68" customFormat="1" ht="14.1" customHeight="1">
      <c r="A63" s="96"/>
      <c r="B63" s="87"/>
      <c r="C63" s="88"/>
      <c r="D63" s="88"/>
      <c r="E63" s="88"/>
      <c r="F63" s="88"/>
      <c r="G63" s="88"/>
      <c r="H63" s="96"/>
    </row>
    <row r="64" spans="1:8" s="68" customFormat="1" ht="14.1" customHeight="1">
      <c r="A64" s="96"/>
      <c r="B64" s="283" t="s">
        <v>70</v>
      </c>
      <c r="C64" s="97"/>
      <c r="D64" s="97"/>
      <c r="E64" s="97"/>
      <c r="F64" s="97"/>
      <c r="G64" s="97"/>
      <c r="H64" s="96"/>
    </row>
    <row r="65" spans="1:8" s="68" customFormat="1">
      <c r="B65" s="77" t="s">
        <v>71</v>
      </c>
      <c r="C65" s="98">
        <f>100-C53</f>
        <v>60</v>
      </c>
      <c r="D65" s="98">
        <f>100-D53</f>
        <v>60</v>
      </c>
      <c r="E65" s="98">
        <f>100-E53</f>
        <v>60</v>
      </c>
      <c r="F65" s="98">
        <f>100-F53</f>
        <v>60</v>
      </c>
      <c r="G65" s="98">
        <f>100-G53</f>
        <v>60</v>
      </c>
    </row>
    <row r="66" spans="1:8" s="68" customFormat="1" ht="28.5">
      <c r="B66" s="76" t="s">
        <v>72</v>
      </c>
      <c r="C66" s="62">
        <v>6</v>
      </c>
      <c r="D66" s="62">
        <v>6</v>
      </c>
      <c r="E66" s="62">
        <v>6</v>
      </c>
      <c r="F66" s="62">
        <v>6</v>
      </c>
      <c r="G66" s="62">
        <v>6</v>
      </c>
    </row>
    <row r="67" spans="1:8" s="68" customFormat="1">
      <c r="B67" s="76" t="s">
        <v>65</v>
      </c>
      <c r="C67" s="62">
        <v>2</v>
      </c>
      <c r="D67" s="62">
        <v>2</v>
      </c>
      <c r="E67" s="62">
        <v>2</v>
      </c>
      <c r="F67" s="62">
        <v>2</v>
      </c>
      <c r="G67" s="62">
        <v>2</v>
      </c>
    </row>
    <row r="68" spans="1:8" s="68" customFormat="1">
      <c r="B68" s="77" t="s">
        <v>73</v>
      </c>
      <c r="C68" s="85">
        <f ca="1">'6. Drug Costs for PMTCT'!$K$28+'6. Drug Costs for PMTCT'!$K$29</f>
        <v>264.59999999999997</v>
      </c>
      <c r="D68" s="85">
        <f ca="1">'6. Drug Costs for PMTCT'!$K$28+'6. Drug Costs for PMTCT'!$K$29</f>
        <v>264.59999999999997</v>
      </c>
      <c r="E68" s="85">
        <f ca="1">'6. Drug Costs for PMTCT'!$K$28+'6. Drug Costs for PMTCT'!$K$29</f>
        <v>264.59999999999997</v>
      </c>
      <c r="F68" s="85">
        <f ca="1">'6. Drug Costs for PMTCT'!$K$28+'6. Drug Costs for PMTCT'!$K$29</f>
        <v>264.59999999999997</v>
      </c>
      <c r="G68" s="85">
        <f ca="1">'6. Drug Costs for PMTCT'!$K$28+'6. Drug Costs for PMTCT'!$K$29</f>
        <v>264.59999999999997</v>
      </c>
    </row>
    <row r="69" spans="1:8" s="68" customFormat="1">
      <c r="B69" s="77" t="s">
        <v>74</v>
      </c>
      <c r="C69" s="85">
        <f ca="1">IF(C67=1,'6. Drug Costs for PMTCT'!$K$36,IF(C67=2,'6. Drug Costs for PMTCT'!$K$37))</f>
        <v>2</v>
      </c>
      <c r="D69" s="85">
        <f ca="1">IF(D67=1,'6. Drug Costs for PMTCT'!$K$36,IF(D67=2,'6. Drug Costs for PMTCT'!$K$37))</f>
        <v>2</v>
      </c>
      <c r="E69" s="85">
        <f ca="1">IF(E67=1,'6. Drug Costs for PMTCT'!$K$36,IF(E67=2,'6. Drug Costs for PMTCT'!$K$37))</f>
        <v>2</v>
      </c>
      <c r="F69" s="85">
        <f ca="1">IF(F67=1,'6. Drug Costs for PMTCT'!$K$36,IF(F67=2,'6. Drug Costs for PMTCT'!$K$37))</f>
        <v>2</v>
      </c>
      <c r="G69" s="85">
        <f ca="1">IF(G67=1,'6. Drug Costs for PMTCT'!$K$36,IF(G67=2,'6. Drug Costs for PMTCT'!$K$37))</f>
        <v>2</v>
      </c>
    </row>
    <row r="70" spans="1:8" s="68" customFormat="1">
      <c r="B70" s="376" t="s">
        <v>303</v>
      </c>
      <c r="C70" s="85">
        <f>C68*C15*C65/100</f>
        <v>68058.427499999991</v>
      </c>
      <c r="D70" s="85">
        <f>D68*D15*D65/100</f>
        <v>51616.844999999994</v>
      </c>
      <c r="E70" s="85">
        <f>E68*E15*E65/100</f>
        <v>40186.124999999993</v>
      </c>
      <c r="F70" s="85">
        <f>F68*F15*F65/100</f>
        <v>30184.244999999999</v>
      </c>
      <c r="G70" s="85">
        <f>G68*G15*G65/100</f>
        <v>31751.999999999996</v>
      </c>
    </row>
    <row r="71" spans="1:8" s="68" customFormat="1">
      <c r="B71" s="376" t="s">
        <v>304</v>
      </c>
      <c r="C71" s="85">
        <f>C69*C15*C65/100</f>
        <v>514.42499999999995</v>
      </c>
      <c r="D71" s="85">
        <f>D69*D15*D65/100</f>
        <v>390.15</v>
      </c>
      <c r="E71" s="85">
        <f>E69*E15*E65/100</f>
        <v>303.75</v>
      </c>
      <c r="F71" s="85">
        <f>F69*F15*F65/100</f>
        <v>228.15</v>
      </c>
      <c r="G71" s="85">
        <f>G69*G15*G65/100</f>
        <v>240</v>
      </c>
    </row>
    <row r="72" spans="1:8" s="68" customFormat="1" ht="15.75">
      <c r="B72" s="355" t="s">
        <v>69</v>
      </c>
      <c r="C72" s="95">
        <f>C70+C71</f>
        <v>68572.852499999994</v>
      </c>
      <c r="D72" s="95">
        <f>D70+D71</f>
        <v>52006.994999999995</v>
      </c>
      <c r="E72" s="95">
        <f>E70+E71</f>
        <v>40489.874999999993</v>
      </c>
      <c r="F72" s="95">
        <f>F70+F71</f>
        <v>30412.395</v>
      </c>
      <c r="G72" s="95">
        <f>G70+G71</f>
        <v>31991.999999999996</v>
      </c>
    </row>
    <row r="73" spans="1:8" s="68" customFormat="1" ht="14.1" customHeight="1">
      <c r="A73" s="96"/>
      <c r="B73" s="87"/>
      <c r="C73" s="88"/>
      <c r="D73" s="88"/>
      <c r="E73" s="88"/>
      <c r="F73" s="88"/>
      <c r="G73" s="88"/>
      <c r="H73" s="96"/>
    </row>
    <row r="74" spans="1:8" s="68" customFormat="1" ht="14.1" customHeight="1">
      <c r="A74" s="96"/>
      <c r="B74" s="99" t="s">
        <v>220</v>
      </c>
      <c r="C74" s="74"/>
      <c r="D74" s="74"/>
      <c r="E74" s="74"/>
      <c r="F74" s="74"/>
      <c r="G74" s="74"/>
      <c r="H74" s="96"/>
    </row>
    <row r="75" spans="1:8" s="68" customFormat="1" ht="14.1" customHeight="1">
      <c r="A75" s="96"/>
      <c r="B75" s="77" t="s">
        <v>305</v>
      </c>
      <c r="C75" s="100">
        <v>900</v>
      </c>
      <c r="D75" s="101"/>
      <c r="E75" s="74"/>
      <c r="F75" s="74"/>
      <c r="G75" s="74"/>
      <c r="H75" s="96"/>
    </row>
    <row r="76" spans="1:8" s="68" customFormat="1" ht="14.1" customHeight="1">
      <c r="A76" s="96"/>
      <c r="B76" s="77" t="s">
        <v>75</v>
      </c>
      <c r="C76" s="100">
        <v>15</v>
      </c>
      <c r="D76" s="101"/>
      <c r="E76" s="74"/>
      <c r="F76" s="74"/>
      <c r="G76" s="74"/>
      <c r="H76" s="96"/>
    </row>
    <row r="77" spans="1:8" s="68" customFormat="1" ht="14.1" customHeight="1">
      <c r="A77" s="96"/>
      <c r="B77" s="77" t="s">
        <v>222</v>
      </c>
      <c r="C77" s="280">
        <v>7.9</v>
      </c>
      <c r="D77" s="74"/>
      <c r="E77" s="74"/>
      <c r="F77" s="74"/>
      <c r="G77" s="74"/>
      <c r="H77" s="96"/>
    </row>
    <row r="78" spans="1:8" s="68" customFormat="1" ht="14.1" customHeight="1">
      <c r="A78" s="96"/>
      <c r="B78" s="102"/>
      <c r="C78" s="103"/>
      <c r="D78" s="97"/>
      <c r="E78" s="97"/>
      <c r="F78" s="97"/>
      <c r="G78" s="97"/>
      <c r="H78" s="96"/>
    </row>
    <row r="79" spans="1:8" s="68" customFormat="1" ht="14.1" customHeight="1">
      <c r="A79" s="96"/>
      <c r="B79" s="72" t="s">
        <v>282</v>
      </c>
      <c r="C79" s="104">
        <v>6</v>
      </c>
      <c r="D79" s="104">
        <v>6</v>
      </c>
      <c r="E79" s="104">
        <v>6</v>
      </c>
      <c r="F79" s="104">
        <v>6</v>
      </c>
      <c r="G79" s="104">
        <v>6</v>
      </c>
      <c r="H79" s="96"/>
    </row>
    <row r="80" spans="1:8" s="68" customFormat="1" ht="14.1" customHeight="1">
      <c r="A80" s="96"/>
      <c r="B80" s="77" t="s">
        <v>76</v>
      </c>
      <c r="C80" s="85">
        <f ca="1">IF(C79=6,'7.Costs for Replacement feeding'!$H$13,IF(C79=12,'7.Costs for Replacement feeding'!$H$14,IF(C79=18,'7.Costs for Replacement feeding'!$H$15,IF(C79=0,0))))</f>
        <v>414.88166666666666</v>
      </c>
      <c r="D80" s="85">
        <f ca="1">IF(D79=6,'7.Costs for Replacement feeding'!$H$13,IF(D79=12,'7.Costs for Replacement feeding'!$H$14,IF(D79=18,'7.Costs for Replacement feeding'!$H$15,IF(D79=0,0))))</f>
        <v>414.88166666666666</v>
      </c>
      <c r="E80" s="85">
        <f ca="1">IF(E79=6,'7.Costs for Replacement feeding'!$H$13,IF(E79=12,'7.Costs for Replacement feeding'!$H$14,IF(E79=18,'7.Costs for Replacement feeding'!$H$15,IF(E79=0,0))))</f>
        <v>414.88166666666666</v>
      </c>
      <c r="F80" s="85">
        <f ca="1">IF(F79=6,'7.Costs for Replacement feeding'!$H$13,IF(F79=12,'7.Costs for Replacement feeding'!$H$14,IF(F79=18,'7.Costs for Replacement feeding'!$H$15,IF(F79=0,0))))</f>
        <v>414.88166666666666</v>
      </c>
      <c r="G80" s="85">
        <f ca="1">IF(G79=6,'7.Costs for Replacement feeding'!$H$13,IF(G79=12,'7.Costs for Replacement feeding'!$H$14,IF(G79=18,'7.Costs for Replacement feeding'!$H$15,IF(G79=0,0))))</f>
        <v>414.88166666666666</v>
      </c>
      <c r="H80" s="96"/>
    </row>
    <row r="81" spans="1:8" s="68" customFormat="1" ht="26.25" customHeight="1">
      <c r="A81" s="96"/>
      <c r="B81" s="355" t="s">
        <v>306</v>
      </c>
      <c r="C81" s="95">
        <f>C80*C15</f>
        <v>177854.58447916666</v>
      </c>
      <c r="D81" s="95">
        <f>D80*D15</f>
        <v>134888.40187500001</v>
      </c>
      <c r="E81" s="95">
        <f>E80*E15</f>
        <v>105016.921875</v>
      </c>
      <c r="F81" s="95">
        <f>F80*F15</f>
        <v>78879.376875000002</v>
      </c>
      <c r="G81" s="95">
        <f>G80*G15</f>
        <v>82976.333333333328</v>
      </c>
      <c r="H81" s="96"/>
    </row>
    <row r="82" spans="1:8" s="68" customFormat="1" ht="14.1" customHeight="1">
      <c r="A82" s="96"/>
      <c r="B82" s="105"/>
      <c r="C82" s="74"/>
      <c r="D82" s="74"/>
      <c r="E82" s="74"/>
      <c r="F82" s="74"/>
      <c r="G82" s="74"/>
      <c r="H82" s="96"/>
    </row>
    <row r="83" spans="1:8" s="68" customFormat="1" ht="14.1" customHeight="1">
      <c r="A83" s="96"/>
      <c r="B83" s="106" t="s">
        <v>462</v>
      </c>
      <c r="C83" s="97"/>
      <c r="D83" s="97"/>
      <c r="E83" s="97"/>
      <c r="F83" s="97"/>
      <c r="G83" s="97"/>
      <c r="H83" s="96"/>
    </row>
    <row r="84" spans="1:8" s="68" customFormat="1" ht="20.25" customHeight="1">
      <c r="A84" s="96"/>
      <c r="B84" s="72" t="s">
        <v>77</v>
      </c>
      <c r="C84" s="73">
        <v>100</v>
      </c>
      <c r="D84" s="73">
        <v>100</v>
      </c>
      <c r="E84" s="73">
        <v>100</v>
      </c>
      <c r="F84" s="73">
        <v>100</v>
      </c>
      <c r="G84" s="73">
        <v>100</v>
      </c>
      <c r="H84" s="96"/>
    </row>
    <row r="85" spans="1:8" s="68" customFormat="1">
      <c r="A85" s="96"/>
      <c r="B85" s="77" t="s">
        <v>78</v>
      </c>
      <c r="C85" s="59">
        <f>100-C84</f>
        <v>0</v>
      </c>
      <c r="D85" s="59">
        <f>100-D84</f>
        <v>0</v>
      </c>
      <c r="E85" s="59">
        <f>100-E84</f>
        <v>0</v>
      </c>
      <c r="F85" s="59">
        <f>100-F84</f>
        <v>0</v>
      </c>
      <c r="G85" s="59">
        <f>100-G84</f>
        <v>0</v>
      </c>
      <c r="H85" s="96"/>
    </row>
    <row r="86" spans="1:8" s="68" customFormat="1">
      <c r="A86" s="96"/>
      <c r="B86" s="72" t="s">
        <v>285</v>
      </c>
      <c r="C86" s="73">
        <v>240</v>
      </c>
      <c r="D86" s="73">
        <v>240</v>
      </c>
      <c r="E86" s="73">
        <v>240</v>
      </c>
      <c r="F86" s="73">
        <v>240</v>
      </c>
      <c r="G86" s="73">
        <v>240</v>
      </c>
      <c r="H86" s="96"/>
    </row>
    <row r="87" spans="1:8" s="68" customFormat="1">
      <c r="A87" s="96"/>
      <c r="B87" s="72" t="s">
        <v>307</v>
      </c>
      <c r="C87" s="73">
        <v>120</v>
      </c>
      <c r="D87" s="73">
        <v>120</v>
      </c>
      <c r="E87" s="73">
        <v>120</v>
      </c>
      <c r="F87" s="73">
        <v>120</v>
      </c>
      <c r="G87" s="73">
        <v>120</v>
      </c>
      <c r="H87" s="96"/>
    </row>
    <row r="88" spans="1:8" s="68" customFormat="1">
      <c r="A88" s="96"/>
      <c r="B88" s="77" t="s">
        <v>79</v>
      </c>
      <c r="C88" s="59">
        <f>C86-C87</f>
        <v>120</v>
      </c>
      <c r="D88" s="59">
        <f>D86-D87</f>
        <v>120</v>
      </c>
      <c r="E88" s="59">
        <f>E86-E87</f>
        <v>120</v>
      </c>
      <c r="F88" s="59">
        <f>F86-F87</f>
        <v>120</v>
      </c>
      <c r="G88" s="59">
        <f>G86-G87</f>
        <v>120</v>
      </c>
      <c r="H88" s="96"/>
    </row>
    <row r="89" spans="1:8" s="68" customFormat="1">
      <c r="A89" s="96"/>
      <c r="B89" s="77" t="s">
        <v>80</v>
      </c>
      <c r="C89" s="85">
        <f>C3*C4/100*C5/100*C6/100*C7/100*C84/100*C88</f>
        <v>51442.5</v>
      </c>
      <c r="D89" s="85">
        <f>D3*D4/100*D5/100*D6/100*D7/100*D84/100*D88</f>
        <v>39015</v>
      </c>
      <c r="E89" s="85">
        <f>E3*E4/100*E5/100*E6/100*E7/100*E84/100*E88</f>
        <v>30375</v>
      </c>
      <c r="F89" s="85">
        <f>F3*F4/100*F5/100*F6/100*F7/100*F84/100*F88</f>
        <v>22815</v>
      </c>
      <c r="G89" s="85">
        <f>G3*G4/100*G7/100*G84/100*G88</f>
        <v>24000</v>
      </c>
      <c r="H89" s="96"/>
    </row>
    <row r="90" spans="1:8" s="68" customFormat="1">
      <c r="B90" s="72" t="s">
        <v>463</v>
      </c>
      <c r="C90" s="73">
        <v>14.2</v>
      </c>
      <c r="D90" s="73">
        <v>14.2</v>
      </c>
      <c r="E90" s="73">
        <v>14.2</v>
      </c>
      <c r="F90" s="73">
        <v>14.2</v>
      </c>
      <c r="G90" s="73">
        <v>14.2</v>
      </c>
    </row>
    <row r="91" spans="1:8" s="68" customFormat="1" ht="20.25" customHeight="1">
      <c r="B91" s="77" t="s">
        <v>81</v>
      </c>
      <c r="C91" s="85">
        <f>C15*C90*22/74+C15*C90*52/74/1.03</f>
        <v>5962.7720316189971</v>
      </c>
      <c r="D91" s="85">
        <f>D15*D90*22/74+D15*D90*52/74/1.03</f>
        <v>4522.283147467856</v>
      </c>
      <c r="E91" s="85">
        <f>E15*E90*22/74+E15*E90*52/74/1.03</f>
        <v>3520.8086788244555</v>
      </c>
      <c r="F91" s="85">
        <f>F15*F90*22/74+F15*F90*52/74/1.03</f>
        <v>2644.5185187614802</v>
      </c>
      <c r="G91" s="85">
        <f>G15*G90*22/74+G15*G90*52/74/1.03</f>
        <v>2781.8735240094466</v>
      </c>
    </row>
    <row r="92" spans="1:8">
      <c r="B92" s="72" t="s">
        <v>464</v>
      </c>
      <c r="C92" s="73">
        <v>40</v>
      </c>
      <c r="D92" s="73">
        <v>40</v>
      </c>
      <c r="E92" s="73">
        <v>40</v>
      </c>
      <c r="F92" s="73">
        <v>40</v>
      </c>
      <c r="G92" s="73">
        <v>40</v>
      </c>
    </row>
    <row r="93" spans="1:8" ht="14.1" customHeight="1">
      <c r="B93" s="72" t="s">
        <v>465</v>
      </c>
      <c r="C93" s="73">
        <v>1</v>
      </c>
      <c r="D93" s="73">
        <v>1</v>
      </c>
      <c r="E93" s="73">
        <v>1</v>
      </c>
      <c r="F93" s="73">
        <v>1</v>
      </c>
      <c r="G93" s="73">
        <v>1</v>
      </c>
    </row>
    <row r="94" spans="1:8" s="68" customFormat="1" ht="14.1" customHeight="1">
      <c r="B94" s="77" t="s">
        <v>82</v>
      </c>
      <c r="C94" s="85">
        <f>C15*(C92*2+C93/1.03)</f>
        <v>34711.201456310679</v>
      </c>
      <c r="D94" s="85">
        <f>D15*(D92*2+D93/1.03)</f>
        <v>26325.655339805824</v>
      </c>
      <c r="E94" s="85">
        <f>E15*(E92*2+E93/1.03)</f>
        <v>20495.752427184467</v>
      </c>
      <c r="F94" s="85">
        <f>F15*(F92*2+F93/1.03)</f>
        <v>15394.587378640776</v>
      </c>
      <c r="G94" s="85">
        <f>G15*(G92*2+G93/1.03)</f>
        <v>16194.174757281553</v>
      </c>
    </row>
    <row r="95" spans="1:8" s="68" customFormat="1" ht="14.1" customHeight="1">
      <c r="B95" s="72" t="s">
        <v>466</v>
      </c>
      <c r="C95" s="73">
        <v>16</v>
      </c>
      <c r="D95" s="73">
        <v>16</v>
      </c>
      <c r="E95" s="73">
        <v>16</v>
      </c>
      <c r="F95" s="73">
        <v>16</v>
      </c>
      <c r="G95" s="73">
        <v>16</v>
      </c>
    </row>
    <row r="96" spans="1:8" s="68" customFormat="1" ht="14.1" customHeight="1">
      <c r="B96" s="77" t="s">
        <v>83</v>
      </c>
      <c r="C96" s="85">
        <f>C16*C95</f>
        <v>117.98</v>
      </c>
      <c r="D96" s="85">
        <f>D16*D95</f>
        <v>84.84</v>
      </c>
      <c r="E96" s="85">
        <f>E16*E95</f>
        <v>61.8</v>
      </c>
      <c r="F96" s="85">
        <f>F16*F95</f>
        <v>41.64</v>
      </c>
      <c r="G96" s="85">
        <f>G16*G95</f>
        <v>44.8</v>
      </c>
    </row>
    <row r="97" spans="1:36" ht="14.1" customHeight="1">
      <c r="B97" s="72" t="s">
        <v>467</v>
      </c>
      <c r="C97" s="73">
        <v>7</v>
      </c>
      <c r="D97" s="73">
        <v>7</v>
      </c>
      <c r="E97" s="73">
        <v>7</v>
      </c>
      <c r="F97" s="73">
        <v>7</v>
      </c>
      <c r="G97" s="73">
        <v>7</v>
      </c>
    </row>
    <row r="98" spans="1:36" s="82" customFormat="1" ht="30.75" customHeight="1">
      <c r="B98" s="107" t="s">
        <v>84</v>
      </c>
      <c r="C98" s="108">
        <v>20</v>
      </c>
      <c r="D98" s="108">
        <v>20</v>
      </c>
      <c r="E98" s="108">
        <v>20</v>
      </c>
      <c r="F98" s="108">
        <v>20</v>
      </c>
      <c r="G98" s="108">
        <v>20</v>
      </c>
      <c r="Q98" s="83"/>
      <c r="AJ98" s="83"/>
    </row>
    <row r="99" spans="1:36" s="68" customFormat="1" ht="14.1" customHeight="1">
      <c r="B99" s="77" t="s">
        <v>85</v>
      </c>
      <c r="C99" s="85">
        <f>C97*C98*C15*14/26+C97*C98*C15*12/26/1.03</f>
        <v>59209.459484690065</v>
      </c>
      <c r="D99" s="85">
        <f>D97*D98*D15*14/26+D97*D98*D15*12/26/1.03</f>
        <v>44905.614264376403</v>
      </c>
      <c r="E99" s="85">
        <f>E97*E98*E15*14/26+E97*E98*E15*12/26/1.03</f>
        <v>34961.118371919343</v>
      </c>
      <c r="F99" s="85">
        <f>F97*F98*F15*14/26+F97*F98*F15*12/26/1.03</f>
        <v>26259.684466019418</v>
      </c>
      <c r="G99" s="85">
        <f>G97*G98*G15*14/26+G97*G98*G15*12/26/1.03</f>
        <v>27623.599701269603</v>
      </c>
    </row>
    <row r="100" spans="1:36" s="68" customFormat="1" ht="6.75" customHeight="1">
      <c r="A100" s="96"/>
      <c r="B100" s="87"/>
      <c r="C100" s="109"/>
      <c r="D100" s="109"/>
      <c r="E100" s="109"/>
      <c r="F100" s="109"/>
      <c r="G100" s="109"/>
      <c r="H100" s="96"/>
    </row>
    <row r="101" spans="1:36" ht="14.1" customHeight="1">
      <c r="B101" s="110" t="s">
        <v>86</v>
      </c>
      <c r="C101" s="95">
        <f>C29+C30+C31+C33+C35+C37+C62+C72+C81+C89+C91+C94+C96+C99</f>
        <v>553506.12120178633</v>
      </c>
      <c r="D101" s="95">
        <f>D29+D30+D31+D33+D35+D37+D62+D72+D81+D89+D91+D94+D96+D99</f>
        <v>432629.19712665014</v>
      </c>
      <c r="E101" s="95">
        <f>E29+E30+E31+E33+E35+E37+E62+E72+E81+E89+E91+E94+E96+E99</f>
        <v>349483.96385292825</v>
      </c>
      <c r="F101" s="95">
        <f>F29+F30+F31+F33+F35+F37+F62+F72+F81+F89+F91+F94+F96+F99</f>
        <v>274937.50973842165</v>
      </c>
      <c r="G101" s="95">
        <f>G29+G30+G31+G33+G35+G37+G62+G72+G81+G89+G91+G94+G96+G99</f>
        <v>254864.78131589392</v>
      </c>
    </row>
    <row r="102" spans="1:36" ht="14.1" customHeight="1">
      <c r="A102" s="86"/>
      <c r="B102" s="111"/>
      <c r="C102" s="88"/>
      <c r="D102" s="88"/>
      <c r="E102" s="88"/>
      <c r="F102" s="88"/>
      <c r="G102" s="88"/>
      <c r="H102" s="86"/>
    </row>
    <row r="103" spans="1:36" ht="14.1" customHeight="1">
      <c r="A103" s="86"/>
      <c r="B103" s="99"/>
      <c r="C103" s="74"/>
      <c r="D103" s="74"/>
      <c r="E103" s="74"/>
      <c r="F103" s="74"/>
      <c r="G103" s="74"/>
      <c r="H103" s="86"/>
    </row>
    <row r="104" spans="1:36" ht="14.1" customHeight="1">
      <c r="A104" s="86"/>
      <c r="B104" s="99"/>
      <c r="C104" s="74"/>
      <c r="D104" s="74"/>
      <c r="E104" s="74"/>
      <c r="F104" s="74"/>
      <c r="G104" s="74"/>
      <c r="H104" s="86"/>
    </row>
    <row r="105" spans="1:36" ht="14.1" customHeight="1">
      <c r="A105" s="86"/>
      <c r="B105" s="112" t="s">
        <v>473</v>
      </c>
      <c r="C105" s="113"/>
      <c r="D105" s="113"/>
      <c r="E105" s="113"/>
      <c r="F105" s="113"/>
      <c r="G105" s="113"/>
    </row>
    <row r="106" spans="1:36" ht="14.1" customHeight="1">
      <c r="A106" s="86"/>
      <c r="B106" s="106"/>
      <c r="C106" s="97"/>
      <c r="D106" s="97"/>
      <c r="E106" s="97"/>
      <c r="F106" s="97"/>
      <c r="G106" s="97"/>
    </row>
    <row r="107" spans="1:36" ht="14.25" customHeight="1">
      <c r="B107" s="72" t="s">
        <v>87</v>
      </c>
      <c r="C107" s="114">
        <v>1</v>
      </c>
      <c r="D107" s="114">
        <v>1</v>
      </c>
      <c r="E107" s="114">
        <v>1</v>
      </c>
      <c r="F107" s="114">
        <v>1</v>
      </c>
      <c r="G107" s="114">
        <v>1</v>
      </c>
    </row>
    <row r="108" spans="1:36">
      <c r="B108" s="72" t="s">
        <v>0</v>
      </c>
      <c r="C108" s="114">
        <v>95</v>
      </c>
      <c r="D108" s="114">
        <v>85</v>
      </c>
      <c r="E108" s="114">
        <v>75</v>
      </c>
      <c r="F108" s="114">
        <v>65</v>
      </c>
      <c r="G108" s="114">
        <v>50</v>
      </c>
    </row>
    <row r="109" spans="1:36" ht="28.5" customHeight="1">
      <c r="B109" s="72" t="s">
        <v>1</v>
      </c>
      <c r="C109" s="114">
        <v>95</v>
      </c>
      <c r="D109" s="114">
        <v>85</v>
      </c>
      <c r="E109" s="114">
        <v>75</v>
      </c>
      <c r="F109" s="114">
        <v>65</v>
      </c>
      <c r="G109" s="114">
        <v>95</v>
      </c>
    </row>
    <row r="110" spans="1:36">
      <c r="B110" s="72" t="s">
        <v>2</v>
      </c>
      <c r="C110" s="115">
        <v>0.7</v>
      </c>
      <c r="D110" s="115">
        <v>0.7</v>
      </c>
      <c r="E110" s="115">
        <v>0.7</v>
      </c>
      <c r="F110" s="115">
        <v>0.7</v>
      </c>
      <c r="G110" s="115">
        <v>0.7</v>
      </c>
    </row>
    <row r="111" spans="1:36" ht="24" customHeight="1">
      <c r="B111" s="76" t="s">
        <v>88</v>
      </c>
      <c r="C111" s="64">
        <f>C3*C5/100*C108/100*C110*2</f>
        <v>126349.99999999999</v>
      </c>
      <c r="D111" s="64">
        <f>D3*D5/100*D108/100*D110*2</f>
        <v>107100</v>
      </c>
      <c r="E111" s="64">
        <f>E3*E5/100*E108/100*E110*2</f>
        <v>94500</v>
      </c>
      <c r="F111" s="64">
        <f>F3*F5/100*F108/100*F110*2</f>
        <v>81900</v>
      </c>
      <c r="G111" s="64">
        <f>G3*G108/100*G110*2</f>
        <v>70000</v>
      </c>
    </row>
    <row r="112" spans="1:36" ht="24.75" customHeight="1">
      <c r="B112" s="76" t="s">
        <v>89</v>
      </c>
      <c r="C112" s="64">
        <f>C3*C5/100*C108/100*C107/100*C110</f>
        <v>631.75</v>
      </c>
      <c r="D112" s="64">
        <f>D3*D5/100*D108/100*D107/100*D110</f>
        <v>535.5</v>
      </c>
      <c r="E112" s="64">
        <f>E3*E5/100*E108/100*E107/100*E110</f>
        <v>472.49999999999994</v>
      </c>
      <c r="F112" s="64">
        <f>F3*F5/100*F108/100*F107/100*F110</f>
        <v>409.5</v>
      </c>
      <c r="G112" s="64">
        <f>G3*G108/100*G107/100*G110</f>
        <v>350</v>
      </c>
    </row>
    <row r="113" spans="1:8">
      <c r="B113" s="72" t="s">
        <v>431</v>
      </c>
      <c r="C113" s="115">
        <v>0.5</v>
      </c>
      <c r="D113" s="115">
        <v>0.5</v>
      </c>
      <c r="E113" s="115">
        <v>0.5</v>
      </c>
      <c r="F113" s="115">
        <v>0.5</v>
      </c>
      <c r="G113" s="115">
        <v>0.5</v>
      </c>
    </row>
    <row r="114" spans="1:8" ht="15.75" customHeight="1">
      <c r="B114" s="76" t="s">
        <v>90</v>
      </c>
      <c r="C114" s="64">
        <f>C3*C5/100*C108/100*C107/100*C109/100*C113*3</f>
        <v>1286.0625</v>
      </c>
      <c r="D114" s="64">
        <f>D3*D5/100*D108/100*D107/100*D109/100*D113*3</f>
        <v>975.375</v>
      </c>
      <c r="E114" s="64">
        <f>E3*E5/100*E108/100*E107/100*E109/100*E113*3</f>
        <v>759.375</v>
      </c>
      <c r="F114" s="64">
        <f>F3*F5/100*F108/100*F107/100*F109/100*F113*3</f>
        <v>570.375</v>
      </c>
      <c r="G114" s="64">
        <f>G3*G108/100*G107/100*G109/100*G113*3</f>
        <v>712.5</v>
      </c>
    </row>
    <row r="115" spans="1:8">
      <c r="B115" s="76" t="s">
        <v>91</v>
      </c>
      <c r="C115" s="64">
        <f>C3*C5/100*C108/100*C107/100*C109/100*C113</f>
        <v>428.6875</v>
      </c>
      <c r="D115" s="64">
        <f>D3*D5/100*D108/100*D107/100*D109/100*D113</f>
        <v>325.125</v>
      </c>
      <c r="E115" s="64">
        <f>E3*E5/100*E108/100*E107/100*E109/100*E113</f>
        <v>253.125</v>
      </c>
      <c r="F115" s="64">
        <f>F3*F5/100*F108/100*F107/100*F109/100*F113</f>
        <v>190.125</v>
      </c>
      <c r="G115" s="64">
        <f>G3*G108/100*G107/100*G109/100*G113</f>
        <v>237.5</v>
      </c>
    </row>
    <row r="116" spans="1:8">
      <c r="B116" s="261" t="s">
        <v>430</v>
      </c>
      <c r="C116" s="115">
        <v>0.3</v>
      </c>
      <c r="D116" s="115">
        <v>0.3</v>
      </c>
      <c r="E116" s="115">
        <v>0.3</v>
      </c>
      <c r="F116" s="115">
        <v>0.3</v>
      </c>
      <c r="G116" s="115">
        <v>0.3</v>
      </c>
    </row>
    <row r="117" spans="1:8">
      <c r="B117" s="262" t="s">
        <v>92</v>
      </c>
      <c r="C117" s="64">
        <f>C3*C5/100*C108/100*C107/100*C109/100*C116</f>
        <v>257.21249999999998</v>
      </c>
      <c r="D117" s="64">
        <f>D3*D5/100*D108/100*D107/100*D109/100*D116</f>
        <v>195.07499999999999</v>
      </c>
      <c r="E117" s="64">
        <f>E3*E5/100*E108/100*E107/100*E109/100*E116</f>
        <v>151.875</v>
      </c>
      <c r="F117" s="64">
        <f>F3*F5/100*F108/100*F107/100*F109/100*F116</f>
        <v>114.075</v>
      </c>
      <c r="G117" s="64">
        <f>G3*G108/100*G107/100*G109/100*G116</f>
        <v>142.5</v>
      </c>
    </row>
    <row r="118" spans="1:8">
      <c r="B118" s="72" t="s">
        <v>3</v>
      </c>
      <c r="C118" s="115">
        <v>0.7</v>
      </c>
      <c r="D118" s="115">
        <v>0.7</v>
      </c>
      <c r="E118" s="115">
        <v>0.7</v>
      </c>
      <c r="F118" s="115">
        <v>0.7</v>
      </c>
      <c r="G118" s="115">
        <v>0.7</v>
      </c>
    </row>
    <row r="119" spans="1:8" ht="28.5" customHeight="1">
      <c r="B119" s="76" t="s">
        <v>93</v>
      </c>
      <c r="C119" s="64">
        <f>C3*C5/100*C108/100*C107/100*C109/100*C118*3</f>
        <v>1800.4874999999997</v>
      </c>
      <c r="D119" s="64">
        <f>D3*D5/100*D108/100*D107/100*D109/100*D118*3</f>
        <v>1365.5249999999999</v>
      </c>
      <c r="E119" s="64">
        <f>E3*E5/100*E108/100*E107/100*E109/100*E118*3</f>
        <v>1063.125</v>
      </c>
      <c r="F119" s="64">
        <f>F3*F5/100*F108/100*F107/100*F109/100*F118*3</f>
        <v>798.52500000000009</v>
      </c>
      <c r="G119" s="64">
        <f>G3*G108/100*G107/100*G109/100*G118*3</f>
        <v>997.5</v>
      </c>
    </row>
    <row r="120" spans="1:8" ht="14.1" customHeight="1">
      <c r="B120" s="102"/>
      <c r="C120" s="103"/>
      <c r="D120" s="103"/>
      <c r="E120" s="103"/>
      <c r="F120" s="103"/>
      <c r="G120" s="103"/>
      <c r="H120" s="86"/>
    </row>
    <row r="121" spans="1:8" ht="14.1" customHeight="1">
      <c r="B121" s="116" t="s">
        <v>94</v>
      </c>
      <c r="C121" s="117">
        <f>C111+C112+C114+C115+C117+C119</f>
        <v>130754.19999999998</v>
      </c>
      <c r="D121" s="117">
        <f>D111+D112+D114+D115+D117+D119</f>
        <v>110496.59999999999</v>
      </c>
      <c r="E121" s="117">
        <f>E111+E112+E114+E115+E117+E119</f>
        <v>97200</v>
      </c>
      <c r="F121" s="117">
        <f>F111+F112+F114+F115+F117+F119</f>
        <v>83982.599999999991</v>
      </c>
      <c r="G121" s="117">
        <f>G111+G112+G114+G115+G117+G119</f>
        <v>72440</v>
      </c>
    </row>
    <row r="122" spans="1:8" ht="14.1" customHeight="1">
      <c r="B122" s="118"/>
      <c r="C122" s="119"/>
      <c r="D122" s="119"/>
      <c r="E122" s="119"/>
      <c r="F122" s="119"/>
      <c r="G122" s="119"/>
    </row>
    <row r="123" spans="1:8" ht="14.1" customHeight="1">
      <c r="B123" s="120"/>
      <c r="C123" s="121"/>
      <c r="D123" s="121"/>
      <c r="E123" s="121"/>
      <c r="F123" s="121"/>
      <c r="G123" s="121"/>
    </row>
    <row r="124" spans="1:8" ht="14.1" customHeight="1">
      <c r="B124" s="120"/>
      <c r="C124" s="121"/>
      <c r="D124" s="121"/>
      <c r="E124" s="121"/>
      <c r="F124" s="121"/>
      <c r="G124" s="121"/>
    </row>
    <row r="125" spans="1:8" ht="14.1" customHeight="1">
      <c r="A125" s="86"/>
      <c r="B125" s="122" t="s">
        <v>15</v>
      </c>
      <c r="C125" s="123"/>
      <c r="D125" s="123"/>
      <c r="E125" s="123"/>
      <c r="F125" s="123"/>
      <c r="G125" s="123"/>
    </row>
    <row r="126" spans="1:8" ht="18.75" customHeight="1">
      <c r="A126" s="86"/>
      <c r="B126" s="282" t="s">
        <v>59</v>
      </c>
      <c r="C126" s="121"/>
      <c r="D126" s="121"/>
      <c r="E126" s="402" t="s">
        <v>216</v>
      </c>
      <c r="F126" s="402"/>
      <c r="G126" s="121"/>
    </row>
    <row r="127" spans="1:8" ht="14.1" customHeight="1">
      <c r="A127" s="86"/>
      <c r="B127" s="134" t="s">
        <v>203</v>
      </c>
      <c r="C127" s="90">
        <v>0.14000000000000001</v>
      </c>
      <c r="D127" s="124"/>
      <c r="E127" s="91" t="s">
        <v>268</v>
      </c>
      <c r="F127" s="90">
        <v>5</v>
      </c>
      <c r="G127" s="121"/>
    </row>
    <row r="128" spans="1:8" ht="14.1" customHeight="1">
      <c r="A128" s="86"/>
      <c r="B128" s="287" t="s">
        <v>197</v>
      </c>
      <c r="C128" s="90">
        <v>0.18</v>
      </c>
      <c r="D128" s="124"/>
      <c r="E128" s="91" t="s">
        <v>269</v>
      </c>
      <c r="F128" s="90">
        <v>20</v>
      </c>
      <c r="G128" s="121"/>
    </row>
    <row r="129" spans="1:7" ht="14.1" customHeight="1">
      <c r="A129" s="86"/>
      <c r="B129" s="287" t="s">
        <v>204</v>
      </c>
      <c r="C129" s="90">
        <v>0.05</v>
      </c>
      <c r="D129" s="124"/>
      <c r="E129" s="124"/>
      <c r="F129" s="121"/>
      <c r="G129" s="121"/>
    </row>
    <row r="130" spans="1:7" ht="14.1" customHeight="1">
      <c r="A130" s="86"/>
      <c r="B130" s="287" t="s">
        <v>196</v>
      </c>
      <c r="C130" s="90">
        <v>0.14000000000000001</v>
      </c>
      <c r="D130" s="124"/>
      <c r="E130" s="124"/>
      <c r="F130" s="121"/>
      <c r="G130" s="121"/>
    </row>
    <row r="131" spans="1:7" ht="14.1" customHeight="1">
      <c r="A131" s="86"/>
      <c r="B131" s="287" t="s">
        <v>192</v>
      </c>
      <c r="C131" s="90">
        <v>0.27</v>
      </c>
      <c r="D131" s="124"/>
      <c r="E131" s="124"/>
      <c r="F131" s="121"/>
      <c r="G131" s="121"/>
    </row>
    <row r="132" spans="1:7" ht="14.1" customHeight="1">
      <c r="A132" s="86"/>
      <c r="B132" s="287" t="s">
        <v>206</v>
      </c>
      <c r="C132" s="90">
        <v>0.15</v>
      </c>
      <c r="D132" s="124"/>
      <c r="E132" s="124"/>
      <c r="F132" s="121"/>
      <c r="G132" s="121"/>
    </row>
    <row r="133" spans="1:7" ht="14.1" customHeight="1">
      <c r="A133" s="86"/>
      <c r="B133" s="287" t="s">
        <v>207</v>
      </c>
      <c r="C133" s="90">
        <v>0.06</v>
      </c>
      <c r="D133" s="124"/>
      <c r="E133" s="124"/>
      <c r="F133" s="121"/>
      <c r="G133" s="121"/>
    </row>
    <row r="134" spans="1:7" ht="14.1" customHeight="1">
      <c r="A134" s="86"/>
      <c r="B134" s="120"/>
      <c r="C134" s="121"/>
      <c r="D134" s="121"/>
      <c r="E134" s="121"/>
      <c r="F134" s="121"/>
      <c r="G134" s="121"/>
    </row>
    <row r="135" spans="1:7" ht="14.1" customHeight="1">
      <c r="A135" s="86"/>
      <c r="B135" s="125" t="s">
        <v>95</v>
      </c>
      <c r="C135" s="126"/>
      <c r="D135" s="126"/>
      <c r="E135" s="126"/>
      <c r="F135" s="126"/>
      <c r="G135" s="126"/>
    </row>
    <row r="136" spans="1:7">
      <c r="A136" s="86"/>
      <c r="B136" s="226" t="s">
        <v>464</v>
      </c>
      <c r="C136" s="222">
        <f>C92</f>
        <v>40</v>
      </c>
      <c r="D136" s="222">
        <f>D92</f>
        <v>40</v>
      </c>
      <c r="E136" s="222">
        <f>E92</f>
        <v>40</v>
      </c>
      <c r="F136" s="222">
        <f>F92</f>
        <v>40</v>
      </c>
      <c r="G136" s="222">
        <f>G92</f>
        <v>40</v>
      </c>
    </row>
    <row r="137" spans="1:7" ht="28.5">
      <c r="A137" s="86"/>
      <c r="B137" s="76" t="s">
        <v>96</v>
      </c>
      <c r="C137" s="284">
        <f>(C14-C15)*C136+(C18+C20)*C136</f>
        <v>3498.5779000000002</v>
      </c>
      <c r="D137" s="284">
        <f>(D14-D15)*D136+(D18+D20)*D136</f>
        <v>8737.0561999999991</v>
      </c>
      <c r="E137" s="284">
        <f>(E14-E15)*E136+(E18+E20)*E136</f>
        <v>12621.485000000001</v>
      </c>
      <c r="F137" s="284">
        <f>(F14-F15)*F136+(F18+F20)*F136</f>
        <v>16020.360199999999</v>
      </c>
      <c r="G137" s="284">
        <f>(G14-G15)*G136+(G18+G20)*G136</f>
        <v>16185.12</v>
      </c>
    </row>
    <row r="138" spans="1:7">
      <c r="B138" s="76" t="s">
        <v>448</v>
      </c>
      <c r="C138" s="285">
        <f>C34</f>
        <v>10</v>
      </c>
      <c r="D138" s="285">
        <f>D34</f>
        <v>10</v>
      </c>
      <c r="E138" s="285">
        <f>E34</f>
        <v>10</v>
      </c>
      <c r="F138" s="285">
        <f>F34</f>
        <v>10</v>
      </c>
      <c r="G138" s="285">
        <f>G34</f>
        <v>10</v>
      </c>
    </row>
    <row r="139" spans="1:7">
      <c r="B139" s="76" t="s">
        <v>57</v>
      </c>
      <c r="C139" s="285">
        <f>C36</f>
        <v>40</v>
      </c>
      <c r="D139" s="285">
        <f>D36</f>
        <v>40</v>
      </c>
      <c r="E139" s="285">
        <f>E36</f>
        <v>40</v>
      </c>
      <c r="F139" s="285">
        <f>F36</f>
        <v>40</v>
      </c>
      <c r="G139" s="285">
        <f>G36</f>
        <v>40</v>
      </c>
    </row>
    <row r="140" spans="1:7" s="68" customFormat="1">
      <c r="B140" s="76" t="s">
        <v>97</v>
      </c>
      <c r="C140" s="285">
        <f>C21*(C138+C139)</f>
        <v>1176.2848750000003</v>
      </c>
      <c r="D140" s="285">
        <f>D21*(D138+D139)</f>
        <v>2442.6952500000002</v>
      </c>
      <c r="E140" s="285">
        <f>E21*(E138+E139)</f>
        <v>3626.2312499999998</v>
      </c>
      <c r="F140" s="285">
        <f>F21*(F138+F139)</f>
        <v>4661.8252499999999</v>
      </c>
      <c r="G140" s="285">
        <f>G21*(G138+G139)</f>
        <v>5371.4000000000005</v>
      </c>
    </row>
    <row r="141" spans="1:7" s="68" customFormat="1">
      <c r="B141" s="76" t="s">
        <v>466</v>
      </c>
      <c r="C141" s="285">
        <f>C95</f>
        <v>16</v>
      </c>
      <c r="D141" s="285">
        <f>D95</f>
        <v>16</v>
      </c>
      <c r="E141" s="285">
        <f>E95</f>
        <v>16</v>
      </c>
      <c r="F141" s="285">
        <f>F95</f>
        <v>16</v>
      </c>
      <c r="G141" s="285">
        <f>G95</f>
        <v>16</v>
      </c>
    </row>
    <row r="142" spans="1:7" s="68" customFormat="1">
      <c r="B142" s="76" t="s">
        <v>83</v>
      </c>
      <c r="C142" s="285">
        <f>C141*C21</f>
        <v>376.41116000000011</v>
      </c>
      <c r="D142" s="285">
        <f>D141*D21</f>
        <v>781.66248000000007</v>
      </c>
      <c r="E142" s="285">
        <f>E141*E21</f>
        <v>1160.394</v>
      </c>
      <c r="F142" s="285">
        <f>F141*F21</f>
        <v>1491.7840799999999</v>
      </c>
      <c r="G142" s="285">
        <f>G141*G21</f>
        <v>1718.8480000000002</v>
      </c>
    </row>
    <row r="143" spans="1:7" s="68" customFormat="1" ht="14.1" customHeight="1">
      <c r="A143" s="96"/>
      <c r="B143" s="87"/>
      <c r="C143" s="88"/>
      <c r="D143" s="88"/>
      <c r="E143" s="88"/>
      <c r="F143" s="88"/>
      <c r="G143" s="88"/>
    </row>
    <row r="144" spans="1:7" s="68" customFormat="1" ht="14.1" customHeight="1">
      <c r="A144" s="96"/>
      <c r="B144" s="127" t="s">
        <v>21</v>
      </c>
      <c r="C144" s="74"/>
      <c r="D144" s="74"/>
      <c r="E144" s="74"/>
      <c r="F144" s="74"/>
      <c r="G144" s="74"/>
    </row>
    <row r="145" spans="1:7" s="68" customFormat="1" ht="15" customHeight="1">
      <c r="A145" s="96"/>
      <c r="B145" s="399" t="s">
        <v>102</v>
      </c>
      <c r="C145" s="399"/>
      <c r="D145" s="399"/>
      <c r="E145" s="97"/>
      <c r="F145" s="97"/>
      <c r="G145" s="97"/>
    </row>
    <row r="146" spans="1:7" s="68" customFormat="1" ht="14.1" customHeight="1">
      <c r="A146" s="96"/>
      <c r="B146" s="128" t="s">
        <v>98</v>
      </c>
      <c r="C146" s="321">
        <f>C15*C53/100*C54/100*C12/100</f>
        <v>3.4295</v>
      </c>
      <c r="D146" s="221">
        <f>D15*D53/100*D54/100*D12/100</f>
        <v>2.6010000000000004</v>
      </c>
      <c r="E146" s="221">
        <f>E15*E53/100*E54/100*E12/100</f>
        <v>2.0249999999999999</v>
      </c>
      <c r="F146" s="221">
        <f>F15*F53/100*F54/100*F12/100</f>
        <v>1.5209999999999999</v>
      </c>
      <c r="G146" s="221">
        <f>G15*G53/100*G54/100*G12/100</f>
        <v>1.6</v>
      </c>
    </row>
    <row r="147" spans="1:7" s="68" customFormat="1" ht="14.1" customHeight="1">
      <c r="A147" s="96"/>
      <c r="B147" s="128" t="s">
        <v>99</v>
      </c>
      <c r="C147" s="284">
        <f ca="1">'8.Drug costs for paediatric HIV'!$W$17+'8.Drug costs for paediatric HIV'!$W$18</f>
        <v>5648.58</v>
      </c>
      <c r="D147" s="284">
        <f ca="1">'8.Drug costs for paediatric HIV'!$W$17+'8.Drug costs for paediatric HIV'!$W$18</f>
        <v>5648.58</v>
      </c>
      <c r="E147" s="284">
        <f ca="1">'8.Drug costs for paediatric HIV'!$W$17+'8.Drug costs for paediatric HIV'!$W$18</f>
        <v>5648.58</v>
      </c>
      <c r="F147" s="284">
        <f ca="1">'8.Drug costs for paediatric HIV'!$W$17+'8.Drug costs for paediatric HIV'!$W$18</f>
        <v>5648.58</v>
      </c>
      <c r="G147" s="284">
        <f ca="1">'8.Drug costs for paediatric HIV'!$W$17+'8.Drug costs for paediatric HIV'!$W$18</f>
        <v>5648.58</v>
      </c>
    </row>
    <row r="148" spans="1:7" s="68" customFormat="1" ht="14.1" customHeight="1">
      <c r="A148" s="96"/>
      <c r="B148" s="129" t="s">
        <v>100</v>
      </c>
      <c r="C148" s="130">
        <f ca="1">'8.Drug costs for paediatric HIV'!M25</f>
        <v>15564.691576914978</v>
      </c>
      <c r="D148" s="130">
        <f ca="1">'8.Drug costs for paediatric HIV'!M33</f>
        <v>11804.567077287029</v>
      </c>
      <c r="E148" s="130">
        <f ca="1">'8.Drug costs for paediatric HIV'!M41</f>
        <v>9190.406894081596</v>
      </c>
      <c r="F148" s="130">
        <f ca="1">'8.Drug costs for paediatric HIV'!M49</f>
        <v>6903.0167337768416</v>
      </c>
      <c r="G148" s="130">
        <f ca="1">'8.Drug costs for paediatric HIV'!M57</f>
        <v>7261.5560644595325</v>
      </c>
    </row>
    <row r="149" spans="1:7" s="96" customFormat="1" ht="14.1" customHeight="1">
      <c r="B149" s="92"/>
      <c r="C149" s="131"/>
      <c r="D149" s="131"/>
      <c r="E149" s="132"/>
      <c r="F149" s="132"/>
      <c r="G149" s="132"/>
    </row>
    <row r="150" spans="1:7" s="68" customFormat="1" ht="14.1" customHeight="1">
      <c r="A150" s="96"/>
      <c r="B150" s="399" t="s">
        <v>101</v>
      </c>
      <c r="C150" s="399"/>
      <c r="D150" s="399"/>
      <c r="E150" s="97"/>
      <c r="F150" s="97"/>
      <c r="G150" s="97"/>
    </row>
    <row r="151" spans="1:7" s="68" customFormat="1" ht="42.75">
      <c r="A151" s="96"/>
      <c r="B151" s="91" t="s">
        <v>103</v>
      </c>
      <c r="C151" s="90">
        <v>1</v>
      </c>
      <c r="D151" s="90">
        <v>1</v>
      </c>
      <c r="E151" s="90">
        <v>1</v>
      </c>
      <c r="F151" s="90">
        <v>1</v>
      </c>
      <c r="G151" s="90">
        <v>1</v>
      </c>
    </row>
    <row r="152" spans="1:7" s="68" customFormat="1" ht="14.1" customHeight="1">
      <c r="A152" s="96"/>
      <c r="B152" s="128" t="s">
        <v>104</v>
      </c>
      <c r="C152" s="277">
        <f>(C15*C53/100*C55/100*C12/100)+(C15*C65/100*C12/100)</f>
        <v>5.1442499999999995</v>
      </c>
      <c r="D152" s="277">
        <f>(D15*D53/100*D55/100*D12/100)+(D15*D65/100*D12/100)</f>
        <v>3.9015</v>
      </c>
      <c r="E152" s="277">
        <f>(E15*E53/100*E55/100*E12/100)+(E15*E65/100*E12/100)</f>
        <v>3.0375000000000001</v>
      </c>
      <c r="F152" s="277">
        <f>(F15*F53/100*F55/100*F12/100)+(F15*F65/100*F12/100)</f>
        <v>2.2814999999999999</v>
      </c>
      <c r="G152" s="277">
        <f>(G15*G53/100*G55/100*G12/100)+(G15*G65/100*G12/100)</f>
        <v>2.4</v>
      </c>
    </row>
    <row r="153" spans="1:7" s="68" customFormat="1" ht="14.1" customHeight="1">
      <c r="A153" s="96"/>
      <c r="B153" s="128" t="s">
        <v>99</v>
      </c>
      <c r="C153" s="220">
        <f ca="1">IF(C151=1, '8.Drug costs for paediatric HIV'!$W$14, '8.Drug costs for paediatric HIV'!$W$17+'8.Drug costs for paediatric HIV'!$W$18)</f>
        <v>2945.88</v>
      </c>
      <c r="D153" s="220">
        <f ca="1">IF(D151=1, '8.Drug costs for paediatric HIV'!$W$14, '8.Drug costs for paediatric HIV'!$W$17+'8.Drug costs for paediatric HIV'!$W$18)</f>
        <v>2945.88</v>
      </c>
      <c r="E153" s="220">
        <f ca="1">IF(E151=1, '8.Drug costs for paediatric HIV'!$W$14, '8.Drug costs for paediatric HIV'!$W$17+'8.Drug costs for paediatric HIV'!$W$18)</f>
        <v>2945.88</v>
      </c>
      <c r="F153" s="220">
        <f ca="1">IF(F151=1, '8.Drug costs for paediatric HIV'!$W$14, '8.Drug costs for paediatric HIV'!$W$17+'8.Drug costs for paediatric HIV'!$W$18)</f>
        <v>2945.88</v>
      </c>
      <c r="G153" s="220">
        <f ca="1">IF(G151=1, '8.Drug costs for paediatric HIV'!$W$14, '8.Drug costs for paediatric HIV'!$W$17+'8.Drug costs for paediatric HIV'!$W$18)</f>
        <v>2945.88</v>
      </c>
    </row>
    <row r="154" spans="1:7" s="68" customFormat="1" ht="14.1" customHeight="1">
      <c r="A154" s="96"/>
      <c r="B154" s="129" t="s">
        <v>100</v>
      </c>
      <c r="C154" s="130">
        <f ca="1">IF(C151=1, '8.Drug costs for paediatric HIV'!M26, '8.Drug costs for paediatric HIV'!M27)</f>
        <v>12681.055959377387</v>
      </c>
      <c r="D154" s="130">
        <f ca="1">IF(D151=1, '8.Drug costs for paediatric HIV'!M34, '8.Drug costs for paediatric HIV'!M35)</f>
        <v>9617.56132099157</v>
      </c>
      <c r="E154" s="130">
        <f ca="1">IF(E151=1, '8.Drug costs for paediatric HIV'!M42, '8.Drug costs for paediatric HIV'!M43)</f>
        <v>7487.7207516370354</v>
      </c>
      <c r="F154" s="130">
        <f ca="1">IF(F151=1, '8.Drug costs for paediatric HIV'!M50, '8.Drug costs for paediatric HIV'!M51)</f>
        <v>5624.1102534518177</v>
      </c>
      <c r="G154" s="130">
        <f ca="1">IF(G151=1, '8.Drug costs for paediatric HIV'!M58, '8.Drug costs for paediatric HIV'!M59)</f>
        <v>5916.2238037625957</v>
      </c>
    </row>
    <row r="155" spans="1:7" s="68" customFormat="1" ht="14.1" customHeight="1">
      <c r="A155" s="96"/>
      <c r="B155" s="133"/>
      <c r="C155" s="133"/>
      <c r="D155" s="133"/>
      <c r="E155" s="74"/>
      <c r="F155" s="74"/>
      <c r="G155" s="74"/>
    </row>
    <row r="156" spans="1:7" s="68" customFormat="1" ht="14.1" customHeight="1">
      <c r="A156" s="96"/>
      <c r="B156" s="133" t="s">
        <v>105</v>
      </c>
      <c r="C156" s="133"/>
      <c r="D156" s="133"/>
      <c r="E156" s="74"/>
      <c r="F156" s="74"/>
      <c r="G156" s="74"/>
    </row>
    <row r="157" spans="1:7" s="68" customFormat="1" ht="57">
      <c r="A157" s="96"/>
      <c r="B157" s="91" t="s">
        <v>24</v>
      </c>
      <c r="C157" s="90">
        <v>1</v>
      </c>
      <c r="D157" s="90">
        <v>1</v>
      </c>
      <c r="E157" s="90">
        <v>1</v>
      </c>
      <c r="F157" s="90">
        <v>1</v>
      </c>
      <c r="G157" s="90">
        <v>1</v>
      </c>
    </row>
    <row r="158" spans="1:7" s="68" customFormat="1" ht="24.75" customHeight="1">
      <c r="A158" s="96"/>
      <c r="B158" s="128" t="s">
        <v>106</v>
      </c>
      <c r="C158" s="219">
        <f>C18+C20</f>
        <v>16.151947500000009</v>
      </c>
      <c r="D158" s="219">
        <f>D18+D20</f>
        <v>43.551405000000003</v>
      </c>
      <c r="E158" s="219">
        <f>E18+E20</f>
        <v>68.662125000000003</v>
      </c>
      <c r="F158" s="219">
        <f>F18+F20</f>
        <v>90.634005000000002</v>
      </c>
      <c r="G158" s="219">
        <f>G18+G20</f>
        <v>104.62800000000001</v>
      </c>
    </row>
    <row r="159" spans="1:7" s="68" customFormat="1" ht="14.1" customHeight="1">
      <c r="A159" s="96"/>
      <c r="B159" s="128" t="s">
        <v>99</v>
      </c>
      <c r="C159" s="220">
        <f ca="1">IF(C157=1,'8.Drug costs for paediatric HIV'!$W$14,IF(C157=2,'8.Drug costs for paediatric HIV'!$W$15+'8.Drug costs for paediatric HIV'!$W$16,IF(C157=3,'8.Drug costs for paediatric HIV'!$W$17+'8.Drug costs for paediatric HIV'!$W$18)))</f>
        <v>2945.88</v>
      </c>
      <c r="D159" s="220">
        <f ca="1">IF(D157=1,'8.Drug costs for paediatric HIV'!$W$14,IF(D157=2,'8.Drug costs for paediatric HIV'!$W$15+'8.Drug costs for paediatric HIV'!$W$16,IF(D157=3,'8.Drug costs for paediatric HIV'!$W$17+'8.Drug costs for paediatric HIV'!$W$18)))</f>
        <v>2945.88</v>
      </c>
      <c r="E159" s="220">
        <f ca="1">IF(E157=1,'8.Drug costs for paediatric HIV'!$W$14,IF(E157=2,'8.Drug costs for paediatric HIV'!$W$15+'8.Drug costs for paediatric HIV'!$W$16,IF(E157=3,'8.Drug costs for paediatric HIV'!$W$17+'8.Drug costs for paediatric HIV'!$W$18)))</f>
        <v>2945.88</v>
      </c>
      <c r="F159" s="220">
        <f ca="1">IF(F157=1,'8.Drug costs for paediatric HIV'!$W$14,IF(F157=2,'8.Drug costs for paediatric HIV'!$W$15+'8.Drug costs for paediatric HIV'!$W$16,IF(F157=3,'8.Drug costs for paediatric HIV'!$W$17+'8.Drug costs for paediatric HIV'!$W$18)))</f>
        <v>2945.88</v>
      </c>
      <c r="G159" s="220">
        <f ca="1">IF(G157=1,'8.Drug costs for paediatric HIV'!$W$14,IF(G157=2,'8.Drug costs for paediatric HIV'!$W$15+'8.Drug costs for paediatric HIV'!$W$16,IF(G157=3,'8.Drug costs for paediatric HIV'!$W$17+'8.Drug costs for paediatric HIV'!$W$18)))</f>
        <v>2945.88</v>
      </c>
    </row>
    <row r="160" spans="1:7" s="68" customFormat="1" ht="14.1" customHeight="1">
      <c r="A160" s="96"/>
      <c r="B160" s="129" t="s">
        <v>100</v>
      </c>
      <c r="C160" s="130">
        <f ca="1">IF(C157=1,'8.Drug costs for paediatric HIV'!$M28,IF(C157=2,'8.Drug costs for paediatric HIV'!$M29,IF(C157=3,'8.Drug costs for paediatric HIV'!$M30)))</f>
        <v>39816.056781926585</v>
      </c>
      <c r="D160" s="130">
        <f ca="1">IF(D157=1,'8.Drug costs for paediatric HIV'!$M36,IF(D157=2,'8.Drug costs for paediatric HIV'!$M37,IF(D157=3,'8.Drug costs for paediatric HIV'!$M38)))</f>
        <v>107358.27456179389</v>
      </c>
      <c r="E160" s="130">
        <f ca="1">IF(E157=1,'8.Drug costs for paediatric HIV'!$M44,IF(E157=2,'8.Drug costs for paediatric HIV'!$M45,IF(E157=3,'8.Drug costs for paediatric HIV'!$M46)))</f>
        <v>169258.54097580118</v>
      </c>
      <c r="F160" s="130">
        <f ca="1">IF(F157=1,'8.Drug costs for paediatric HIV'!$M52,IF(F157=2,'8.Drug costs for paediatric HIV'!$M53,IF(F157=3,'8.Drug costs for paediatric HIV'!$M54)))</f>
        <v>223421.27408805757</v>
      </c>
      <c r="G160" s="130">
        <f ca="1">IF(G157=1,'8.Drug costs for paediatric HIV'!$M60,IF(G157=2,'8.Drug costs for paediatric HIV'!$M61,IF(G157=3,'8.Drug costs for paediatric HIV'!$M62)))</f>
        <v>257917.77672503045</v>
      </c>
    </row>
    <row r="161" spans="1:7" s="68" customFormat="1" ht="14.1" customHeight="1">
      <c r="A161" s="96"/>
      <c r="B161" s="133"/>
      <c r="C161" s="133"/>
      <c r="D161" s="133"/>
      <c r="E161" s="74"/>
      <c r="F161" s="74"/>
      <c r="G161" s="74"/>
    </row>
    <row r="162" spans="1:7" s="68" customFormat="1" ht="14.1" customHeight="1">
      <c r="A162" s="96"/>
      <c r="B162" s="127" t="s">
        <v>26</v>
      </c>
      <c r="C162" s="74"/>
      <c r="D162" s="74"/>
      <c r="E162" s="74"/>
      <c r="F162" s="74"/>
      <c r="G162" s="74"/>
    </row>
    <row r="163" spans="1:7" s="68" customFormat="1">
      <c r="B163" s="261" t="s">
        <v>27</v>
      </c>
      <c r="C163" s="73">
        <v>50</v>
      </c>
      <c r="D163" s="73">
        <v>50</v>
      </c>
      <c r="E163" s="73">
        <v>50</v>
      </c>
      <c r="F163" s="73">
        <v>50</v>
      </c>
      <c r="G163" s="73">
        <v>50</v>
      </c>
    </row>
    <row r="164" spans="1:7" s="68" customFormat="1" ht="19.5" customHeight="1">
      <c r="B164" s="77" t="s">
        <v>107</v>
      </c>
      <c r="C164" s="206">
        <f>(C16*C163/5+C16*C163/5/1.03+C16*C163/5/1.03^2+C16*C163/5/1.03^3+C16*C163/5/1.03^4)+((C18+C20)*0.5*C163/5+(C18+C20)*0.7*C163/5/1.03+(C18+C20)*C163/5/1.03^2+(C18+C20)*C163/5/1.03^3+(C18+C20)*C163/5/1.03^4)</f>
        <v>981.92605624094631</v>
      </c>
      <c r="D164" s="206">
        <f>(D16*D163/5+D16*D163/5/1.03+D16*D163/5/1.03^2+D16*D163/5/1.03^3+D16*D163/5/1.03^4)+((D18+D20)*0.5*D163/5+(D18+D20)*0.7*D163/5/1.03+(D18+D20)*D163/5/1.03^2+(D18+D20)*D163/5/1.03^3+(D18+D20)*D163/5/1.03^4)</f>
        <v>1959.8809950383111</v>
      </c>
      <c r="E164" s="206">
        <f>(E16*E163/5+E16*E163/5/1.03+E16*E163/5/1.03^2+E16*E163/5/1.03^3+E16*E163/5/1.03^4)+((E18+E20)*0.5*E163/5+(E18+E20)*0.7*E163/5/1.03+(E18+E20)*E163/5/1.03^2+(E18+E20)*E163/5/1.03^3+(E18+E20)*E163/5/1.03^4)</f>
        <v>2877.7605306745504</v>
      </c>
      <c r="F164" s="206">
        <f>(F16*F163/5+F16*F163/5/1.03+F16*F163/5/1.03^2+F16*F163/5/1.03^3+F16*F163/5/1.03^4)+((F18+F20)*0.5*F163/5+(F18+F20)*0.7*F163/5/1.03+(F18+F20)*F163/5/1.03^2+(F18+F20)*F163/5/1.03^3+(F18+F20)*F163/5/1.03^4)</f>
        <v>3680.9051243562594</v>
      </c>
      <c r="G164" s="206">
        <f>(G16*G163/5+G16*G163/5/1.03+G16*G163/5/1.03^2+G16*G163/5/1.03^3+G16*G163/5/1.03^4)+((G18+G20)*0.5*G163/5+(G18+G20)*0.7*G163/5/1.03+(G18+G20)*G163/5/1.03^2+(G18+G20)*G163/5/1.03^3+(G18+G20)*G163/5/1.03^4)</f>
        <v>4239.6027245983105</v>
      </c>
    </row>
    <row r="165" spans="1:7" s="68" customFormat="1" ht="14.1" customHeight="1">
      <c r="B165" s="72" t="s">
        <v>28</v>
      </c>
      <c r="C165" s="73">
        <v>10</v>
      </c>
      <c r="D165" s="73">
        <v>10</v>
      </c>
      <c r="E165" s="73">
        <v>10</v>
      </c>
      <c r="F165" s="73">
        <v>10</v>
      </c>
      <c r="G165" s="73">
        <v>10</v>
      </c>
    </row>
    <row r="166" spans="1:7" s="83" customFormat="1" ht="14.1" customHeight="1">
      <c r="B166" s="107" t="s">
        <v>29</v>
      </c>
      <c r="C166" s="108">
        <v>5</v>
      </c>
      <c r="D166" s="108">
        <v>5</v>
      </c>
      <c r="E166" s="108">
        <v>5</v>
      </c>
      <c r="F166" s="108">
        <v>5</v>
      </c>
      <c r="G166" s="108">
        <v>5</v>
      </c>
    </row>
    <row r="167" spans="1:7" s="83" customFormat="1" ht="14.1" customHeight="1">
      <c r="B167" s="78" t="s">
        <v>108</v>
      </c>
      <c r="C167" s="218">
        <f>C165*C166</f>
        <v>50</v>
      </c>
      <c r="D167" s="218">
        <f>D165*D166</f>
        <v>50</v>
      </c>
      <c r="E167" s="218">
        <f>E165*E166</f>
        <v>50</v>
      </c>
      <c r="F167" s="218">
        <f>F165*F166</f>
        <v>50</v>
      </c>
      <c r="G167" s="218">
        <f>G165*G166</f>
        <v>50</v>
      </c>
    </row>
    <row r="168" spans="1:7" s="68" customFormat="1">
      <c r="B168" s="77" t="s">
        <v>109</v>
      </c>
      <c r="C168" s="135">
        <f>C165*C166*(C16*20+(C18+C20)*(0.5*20+0.2*19+0.3*16))</f>
        <v>22395.061175000013</v>
      </c>
      <c r="D168" s="135">
        <f>D165*D166*(D16*20+(D18+D20)*(0.5*20+0.2*19+0.3*16))</f>
        <v>45805.306650000013</v>
      </c>
      <c r="E168" s="135">
        <f>E165*E166*(E16*20+(E18+E20)*(0.5*20+0.2*19+0.3*16))</f>
        <v>67718.27625000001</v>
      </c>
      <c r="F168" s="135">
        <f>F165*F166*(F16*20+(F18+F20)*(0.5*20+0.2*19+0.3*16))</f>
        <v>86892.124650000012</v>
      </c>
      <c r="G168" s="135">
        <f>G165*G166*(G16*20+(G18+G20)*(0.5*20+0.2*19+0.3*16))</f>
        <v>100104.04000000002</v>
      </c>
    </row>
    <row r="169" spans="1:7" s="68" customFormat="1">
      <c r="B169" s="72" t="s">
        <v>30</v>
      </c>
      <c r="C169" s="73">
        <v>190</v>
      </c>
      <c r="D169" s="73">
        <v>190</v>
      </c>
      <c r="E169" s="73">
        <v>190</v>
      </c>
      <c r="F169" s="73">
        <v>190</v>
      </c>
      <c r="G169" s="73">
        <v>190</v>
      </c>
    </row>
    <row r="170" spans="1:7" s="68" customFormat="1">
      <c r="B170" s="77" t="s">
        <v>110</v>
      </c>
      <c r="C170" s="85">
        <f>C169*((C16*20)+(C18+C20)*(0.5*20+0.2*19+0.3*16))</f>
        <v>85101.232465000052</v>
      </c>
      <c r="D170" s="85">
        <f>D169*((D16*20)+(D18+D20)*(0.5*20+0.2*19+0.3*16))</f>
        <v>174060.16527000006</v>
      </c>
      <c r="E170" s="85">
        <f>E169*((E16*20)+(E18+E20)*(0.5*20+0.2*19+0.3*16))</f>
        <v>257329.44975000003</v>
      </c>
      <c r="F170" s="85">
        <f>F169*((F16*20)+(F18+F20)*(0.5*20+0.2*19+0.3*16))</f>
        <v>330190.07367000001</v>
      </c>
      <c r="G170" s="85">
        <f>G169*((G16*20)+(G18+G20)*(0.5*20+0.2*19+0.3*16))</f>
        <v>380395.35200000007</v>
      </c>
    </row>
    <row r="171" spans="1:7" s="68" customFormat="1" ht="14.1" customHeight="1">
      <c r="A171" s="96"/>
      <c r="B171" s="87"/>
      <c r="C171" s="88"/>
      <c r="D171" s="88"/>
      <c r="E171" s="88"/>
      <c r="F171" s="88"/>
      <c r="G171" s="88"/>
    </row>
    <row r="172" spans="1:7" s="68" customFormat="1" ht="14.1" customHeight="1">
      <c r="A172" s="96"/>
      <c r="B172" s="136" t="s">
        <v>35</v>
      </c>
      <c r="C172" s="97"/>
      <c r="D172" s="97"/>
      <c r="E172" s="97"/>
      <c r="F172" s="97"/>
      <c r="G172" s="97"/>
    </row>
    <row r="173" spans="1:7" s="68" customFormat="1" ht="21.75" customHeight="1">
      <c r="B173" s="72" t="s">
        <v>36</v>
      </c>
      <c r="C173" s="73">
        <v>2</v>
      </c>
      <c r="D173" s="73">
        <v>2</v>
      </c>
      <c r="E173" s="73">
        <v>2</v>
      </c>
      <c r="F173" s="73">
        <v>2</v>
      </c>
      <c r="G173" s="73">
        <v>2</v>
      </c>
    </row>
    <row r="174" spans="1:7" s="68" customFormat="1" ht="18.75" customHeight="1">
      <c r="B174" s="72" t="s">
        <v>37</v>
      </c>
      <c r="C174" s="73">
        <v>400</v>
      </c>
      <c r="D174" s="73">
        <v>400</v>
      </c>
      <c r="E174" s="73">
        <v>400</v>
      </c>
      <c r="F174" s="73">
        <v>400</v>
      </c>
      <c r="G174" s="73">
        <v>400</v>
      </c>
    </row>
    <row r="175" spans="1:7" s="68" customFormat="1">
      <c r="B175" s="77" t="s">
        <v>112</v>
      </c>
      <c r="C175" s="334">
        <f>1/C173*100</f>
        <v>50</v>
      </c>
      <c r="D175" s="334">
        <f>1/D173*100</f>
        <v>50</v>
      </c>
      <c r="E175" s="334">
        <f>1/E173*100</f>
        <v>50</v>
      </c>
      <c r="F175" s="334">
        <f>1/F173*100</f>
        <v>50</v>
      </c>
      <c r="G175" s="334">
        <f>1/G173*100</f>
        <v>50</v>
      </c>
    </row>
    <row r="176" spans="1:7" s="68" customFormat="1">
      <c r="B176" s="77" t="s">
        <v>113</v>
      </c>
      <c r="C176" s="335">
        <f>C21*C173/100*(C175-1)*C175/2*C174+C21*(15-C175)*C174</f>
        <v>-98807.929500000057</v>
      </c>
      <c r="D176" s="335">
        <f>D21*D173/100*(D175-1)*D175/2*D174+D21*(15-D175)*D174</f>
        <v>-205186.40100000001</v>
      </c>
      <c r="E176" s="335">
        <f>E21*E173/100*(E175-1)*E175/2*E174+E21*(15-E175)*E174</f>
        <v>-304603.42499999993</v>
      </c>
      <c r="F176" s="335">
        <f>F21*F173/100*(F175-1)*F175/2*F174+F21*(15-F175)*F174</f>
        <v>-391593.321</v>
      </c>
      <c r="G176" s="335">
        <f>G21*G173/100*(G175-1)*G175/2*G174+G21*(15-G175)*G174</f>
        <v>-451197.60000000009</v>
      </c>
    </row>
    <row r="177" spans="1:9" s="68" customFormat="1" ht="28.5">
      <c r="B177" s="77" t="s">
        <v>308</v>
      </c>
      <c r="C177" s="336">
        <f>C21*C173/100*(15-1)*15/2*C174</f>
        <v>19761.585900000005</v>
      </c>
      <c r="D177" s="336">
        <f>D21*D173/100*(15-1)*15/2*D174</f>
        <v>41037.280200000001</v>
      </c>
      <c r="E177" s="336">
        <f>E21*E173/100*(15-1)*15/2*E174</f>
        <v>60920.685000000005</v>
      </c>
      <c r="F177" s="336">
        <f>F21*F173/100*(15-1)*15/2*F174</f>
        <v>78318.664199999999</v>
      </c>
      <c r="G177" s="336">
        <f>G21*G173/100*(15-1)*15/2*G174</f>
        <v>90239.520000000019</v>
      </c>
    </row>
    <row r="178" spans="1:9" s="68" customFormat="1" ht="18" customHeight="1">
      <c r="B178" s="94" t="s">
        <v>111</v>
      </c>
      <c r="C178" s="333">
        <f>IF(C175&lt;15,C176,C177)</f>
        <v>19761.585900000005</v>
      </c>
      <c r="D178" s="333">
        <f>IF(D175&lt;15,D176,D177)</f>
        <v>41037.280200000001</v>
      </c>
      <c r="E178" s="333">
        <f>IF(E175&lt;15,E176,E177)</f>
        <v>60920.685000000005</v>
      </c>
      <c r="F178" s="333">
        <f>IF(F175&lt;15,F176,F177)</f>
        <v>78318.664199999999</v>
      </c>
      <c r="G178" s="333">
        <f>IF(G175&lt;15,G176,G177)</f>
        <v>90239.520000000019</v>
      </c>
    </row>
    <row r="179" spans="1:9" s="68" customFormat="1" ht="14.1" customHeight="1">
      <c r="A179" s="96"/>
      <c r="B179" s="102"/>
      <c r="C179" s="103"/>
      <c r="D179" s="103"/>
      <c r="E179" s="103"/>
      <c r="F179" s="103"/>
      <c r="G179" s="103"/>
      <c r="H179" s="96"/>
    </row>
    <row r="180" spans="1:9" ht="14.1" customHeight="1">
      <c r="B180" s="110" t="s">
        <v>114</v>
      </c>
      <c r="C180" s="95">
        <f>C137+C140+C142+C148+C154+C160+C164+C168+C170+C178</f>
        <v>201352.88384945996</v>
      </c>
      <c r="D180" s="95">
        <f>D137+D140+D142+D148+D154+D160+D164+D168+D170+D178</f>
        <v>403604.45000511088</v>
      </c>
      <c r="E180" s="95">
        <f>E137+E140+E142+E148+E154+E160+E164+E168+E170+E178</f>
        <v>592190.9504021944</v>
      </c>
      <c r="F180" s="95">
        <f>F137+F140+F142+F148+F154+F160+F164+F168+F170+F178</f>
        <v>757204.13824964245</v>
      </c>
      <c r="G180" s="95">
        <f>G137+G140+G142+G148+G154+G160+G164+G168+G170+G178</f>
        <v>869349.43931785109</v>
      </c>
    </row>
    <row r="181" spans="1:9" ht="14.1" customHeight="1">
      <c r="B181" s="99"/>
      <c r="C181" s="315"/>
      <c r="D181" s="315"/>
      <c r="E181" s="315"/>
      <c r="F181" s="315"/>
      <c r="G181" s="315"/>
    </row>
    <row r="182" spans="1:9" ht="15">
      <c r="A182" s="86"/>
      <c r="B182" s="317"/>
      <c r="C182" s="318"/>
      <c r="D182" s="318"/>
      <c r="E182" s="318"/>
      <c r="F182" s="318"/>
      <c r="G182" s="318"/>
    </row>
    <row r="183" spans="1:9">
      <c r="A183" s="86"/>
      <c r="B183" s="106"/>
      <c r="C183" s="316"/>
      <c r="D183" s="316"/>
      <c r="E183" s="316"/>
      <c r="F183" s="316"/>
      <c r="G183" s="316"/>
    </row>
    <row r="184" spans="1:9" ht="28.5" customHeight="1">
      <c r="B184" s="227" t="s">
        <v>115</v>
      </c>
      <c r="C184" s="228">
        <f>C101+C121+C180</f>
        <v>885613.20505124622</v>
      </c>
      <c r="D184" s="228">
        <f>D101+D121+D180</f>
        <v>946730.24713176093</v>
      </c>
      <c r="E184" s="228">
        <f>E101+E121+E180</f>
        <v>1038874.9142551227</v>
      </c>
      <c r="F184" s="228">
        <f>F101+F121+F180</f>
        <v>1116124.2479880641</v>
      </c>
      <c r="G184" s="228">
        <f>G101+G121+G180</f>
        <v>1196654.220633745</v>
      </c>
    </row>
    <row r="185" spans="1:9" s="68" customFormat="1">
      <c r="B185" s="322"/>
      <c r="C185" s="323"/>
      <c r="D185" s="323"/>
      <c r="E185" s="323"/>
      <c r="F185" s="323"/>
      <c r="G185" s="323"/>
    </row>
    <row r="186" spans="1:9">
      <c r="B186" s="112" t="s">
        <v>116</v>
      </c>
      <c r="C186" s="113"/>
      <c r="D186" s="113"/>
      <c r="E186" s="113"/>
      <c r="F186" s="113"/>
      <c r="G186" s="113"/>
      <c r="H186" s="140"/>
      <c r="I186" s="140"/>
    </row>
    <row r="187" spans="1:9">
      <c r="B187" s="99"/>
      <c r="C187" s="74"/>
      <c r="D187" s="74"/>
      <c r="E187" s="74"/>
      <c r="F187" s="74"/>
      <c r="G187" s="74"/>
      <c r="H187" s="140"/>
      <c r="I187" s="140"/>
    </row>
    <row r="188" spans="1:9">
      <c r="B188" s="138" t="s">
        <v>117</v>
      </c>
      <c r="C188" s="139">
        <f>C23</f>
        <v>150.85430249999999</v>
      </c>
      <c r="D188" s="139">
        <f>D23</f>
        <v>125.526095</v>
      </c>
      <c r="E188" s="139">
        <f>E23</f>
        <v>101.855375</v>
      </c>
      <c r="F188" s="139">
        <f>F23</f>
        <v>81.143495000000001</v>
      </c>
      <c r="G188" s="139">
        <f>G23</f>
        <v>66.951999999999984</v>
      </c>
      <c r="H188" s="140"/>
      <c r="I188" s="140"/>
    </row>
    <row r="189" spans="1:9">
      <c r="B189" s="94" t="s">
        <v>118</v>
      </c>
      <c r="C189" s="95">
        <f>C101/C23</f>
        <v>3669.1437501544669</v>
      </c>
      <c r="D189" s="95">
        <f>D101/D23</f>
        <v>3446.5279679627583</v>
      </c>
      <c r="E189" s="95">
        <f>E101/E23</f>
        <v>3431.1784120664056</v>
      </c>
      <c r="F189" s="95">
        <f>F101/F23</f>
        <v>3388.2877455355065</v>
      </c>
      <c r="G189" s="95">
        <f>G101/G23</f>
        <v>3806.67913304896</v>
      </c>
      <c r="H189" s="140"/>
      <c r="I189" s="140"/>
    </row>
    <row r="190" spans="1:9" ht="28.5" customHeight="1">
      <c r="B190" s="94" t="s">
        <v>119</v>
      </c>
      <c r="C190" s="95">
        <f>C180/C21</f>
        <v>8558.8486313513095</v>
      </c>
      <c r="D190" s="95">
        <f>D180/D21</f>
        <v>8261.4572981445563</v>
      </c>
      <c r="E190" s="95">
        <f>E180/E21</f>
        <v>8165.3776272844489</v>
      </c>
      <c r="F190" s="95">
        <f>F180/F21</f>
        <v>8121.3269228575491</v>
      </c>
      <c r="G190" s="95">
        <f>G180/G21</f>
        <v>8092.3915489244055</v>
      </c>
      <c r="H190" s="140"/>
      <c r="I190" s="140"/>
    </row>
    <row r="191" spans="1:9" ht="27.75" customHeight="1">
      <c r="B191" s="141" t="s">
        <v>120</v>
      </c>
      <c r="C191" s="142">
        <f>C190*C23-C101</f>
        <v>737633.01928379491</v>
      </c>
      <c r="D191" s="142">
        <f>D190*D23-D101</f>
        <v>604399.27651868679</v>
      </c>
      <c r="E191" s="142">
        <f>E190*E23-E101</f>
        <v>482203.63639073947</v>
      </c>
      <c r="F191" s="142">
        <f>F190*F23-F101</f>
        <v>384055.34081983531</v>
      </c>
      <c r="G191" s="142">
        <f>G190*G23-G101</f>
        <v>286937.01766769279</v>
      </c>
      <c r="H191" s="140"/>
      <c r="I191" s="140"/>
    </row>
    <row r="192" spans="1:9">
      <c r="B192" s="102"/>
      <c r="C192" s="137"/>
      <c r="D192" s="137"/>
      <c r="E192" s="137"/>
      <c r="F192" s="137"/>
      <c r="G192" s="137"/>
      <c r="H192" s="140"/>
      <c r="I192" s="140"/>
    </row>
    <row r="193" spans="2:9">
      <c r="B193" s="229" t="s">
        <v>121</v>
      </c>
      <c r="C193" s="143">
        <f>C3*C107/100*C108/100*C109/100*0.25</f>
        <v>225.625</v>
      </c>
      <c r="D193" s="143">
        <f>D3*D107/100*D108/100*D109/100*0.25</f>
        <v>180.625</v>
      </c>
      <c r="E193" s="143">
        <f>E3*E107/100*E108/100*E109/100*0.25</f>
        <v>140.625</v>
      </c>
      <c r="F193" s="143">
        <f>F3*F107/100*F108/100*F109/100*0.25</f>
        <v>105.625</v>
      </c>
      <c r="G193" s="143">
        <f>G3*G107/100*G108/100*G109/100*0.25</f>
        <v>118.75</v>
      </c>
      <c r="H193" s="140"/>
      <c r="I193" s="140"/>
    </row>
    <row r="194" spans="2:9">
      <c r="B194" s="5" t="s">
        <v>122</v>
      </c>
      <c r="C194" s="6">
        <f>C3*C107/100*C108/100*C109/100*0.11</f>
        <v>99.275000000000006</v>
      </c>
      <c r="D194" s="6">
        <f>D3*D107/100*D108/100*D109/100*0.11</f>
        <v>79.474999999999994</v>
      </c>
      <c r="E194" s="6">
        <f>E3*E107/100*E108/100*E109/100*0.11</f>
        <v>61.875</v>
      </c>
      <c r="F194" s="6">
        <f>F3*F107/100*F108/100*F109/100*0.11</f>
        <v>46.475000000000001</v>
      </c>
      <c r="G194" s="6">
        <f>G3*G107/100*G108/100*G109/100*0.11</f>
        <v>52.25</v>
      </c>
      <c r="H194" s="140"/>
      <c r="I194" s="140"/>
    </row>
    <row r="195" spans="2:9">
      <c r="B195" s="5" t="s">
        <v>123</v>
      </c>
      <c r="C195" s="6">
        <f>C3*C107/100*C108/100*C109/100*0.2</f>
        <v>180.5</v>
      </c>
      <c r="D195" s="6">
        <f>D3*D107/100*D108/100*D109/100*0.2</f>
        <v>144.5</v>
      </c>
      <c r="E195" s="6">
        <f>E3*E107/100*E108/100*E109/100*0.2</f>
        <v>112.5</v>
      </c>
      <c r="F195" s="6">
        <f>F3*F107/100*F108/100*F109/100*0.2</f>
        <v>84.5</v>
      </c>
      <c r="G195" s="6">
        <f>G3*G107/100*G108/100*G109/100*0.2</f>
        <v>95</v>
      </c>
      <c r="H195" s="140"/>
      <c r="I195" s="140"/>
    </row>
    <row r="196" spans="2:9">
      <c r="B196" s="5" t="s">
        <v>124</v>
      </c>
      <c r="C196" s="6">
        <f>C3*C107/100*C108/100*C109/100*0.13</f>
        <v>117.325</v>
      </c>
      <c r="D196" s="6">
        <f>D3*D107/100*D108/100*D109/100*0.13</f>
        <v>93.924999999999997</v>
      </c>
      <c r="E196" s="6">
        <f>E3*E107/100*E108/100*E109/100*0.13</f>
        <v>73.125</v>
      </c>
      <c r="F196" s="6">
        <f>F3*F107/100*F108/100*F109/100*0.13</f>
        <v>54.925000000000004</v>
      </c>
      <c r="G196" s="6">
        <f>G3*G107/100*G108/100*G109/100*0.13</f>
        <v>61.75</v>
      </c>
    </row>
    <row r="197" spans="2:9">
      <c r="B197" s="144" t="s">
        <v>125</v>
      </c>
      <c r="C197" s="145">
        <f>C121/(C193+C194+C195+C196)</f>
        <v>209.9710144927536</v>
      </c>
      <c r="D197" s="145">
        <f>D121/(D193+D194+D195+D196)</f>
        <v>221.64705882352939</v>
      </c>
      <c r="E197" s="145">
        <f>E121/(E193+E194+E195+E196)</f>
        <v>250.43478260869566</v>
      </c>
      <c r="F197" s="145">
        <f>F121/(F193+F194+F195+F196)</f>
        <v>288.08026755852842</v>
      </c>
      <c r="G197" s="145">
        <f>G121/(G193+G194+G195+G196)</f>
        <v>221.02212051868801</v>
      </c>
      <c r="H197" s="140"/>
      <c r="I197" s="140"/>
    </row>
    <row r="198" spans="2:9">
      <c r="B198" s="102"/>
      <c r="C198" s="137"/>
      <c r="D198" s="137"/>
      <c r="E198" s="137"/>
      <c r="F198" s="137"/>
      <c r="G198" s="137"/>
    </row>
    <row r="199" spans="2:9" ht="23.25" customHeight="1">
      <c r="B199" s="263" t="s">
        <v>126</v>
      </c>
      <c r="C199" s="146">
        <f>(C3*C4/100*C5/100*C6/100*C7/100*C53/100)-(C14*C8/100)</f>
        <v>91.474999999999994</v>
      </c>
      <c r="D199" s="146">
        <f>(D3*D4/100*D5/100*D6/100*D7/100*D53/100)-(D14*D8/100)</f>
        <v>50.050000000000011</v>
      </c>
      <c r="E199" s="146">
        <f>(E3*E4/100*E5/100*E6/100*E7/100*E53/100)-(E14*E8/100)</f>
        <v>21.25</v>
      </c>
      <c r="F199" s="146">
        <f>(F3*F4/100*F5/100*F6/100*F7/100*F53/100)-(F14*F8/100)</f>
        <v>-3.9500000000000028</v>
      </c>
      <c r="G199" s="146">
        <f>(G3*G4/100*G6/100*G7/100*G53/100)-(G14*G8/100)</f>
        <v>-48</v>
      </c>
    </row>
    <row r="200" spans="2:9">
      <c r="B200" s="44" t="s">
        <v>127</v>
      </c>
      <c r="C200" s="147"/>
      <c r="D200" s="74"/>
    </row>
    <row r="201" spans="2:9">
      <c r="C201" s="147"/>
    </row>
  </sheetData>
  <sheetProtection selectLockedCells="1"/>
  <mergeCells count="9">
    <mergeCell ref="B150:D150"/>
    <mergeCell ref="B145:D145"/>
    <mergeCell ref="B17:B18"/>
    <mergeCell ref="E40:F40"/>
    <mergeCell ref="E126:F126"/>
    <mergeCell ref="B26:G26"/>
    <mergeCell ref="B39:G39"/>
    <mergeCell ref="B52:G52"/>
    <mergeCell ref="B19:B20"/>
  </mergeCells>
  <phoneticPr fontId="5"/>
  <dataValidations count="3">
    <dataValidation type="list" allowBlank="1" showInputMessage="1" showErrorMessage="1" sqref="C151:G151">
      <formula1>"1, 2"</formula1>
    </dataValidation>
    <dataValidation type="list" allowBlank="1" showInputMessage="1" showErrorMessage="1" sqref="C157:G157">
      <formula1>"1, 2, 3"</formula1>
    </dataValidation>
    <dataValidation type="list" allowBlank="1" showInputMessage="1" showErrorMessage="1" sqref="C79:G79">
      <formula1>"0, 6, 12, 18"</formula1>
    </dataValidation>
  </dataValidations>
  <pageMargins left="0.70866141732283472" right="0.70866141732283472" top="0.47" bottom="0.74803149606299213" header="0.31496062992125984" footer="0.31496062992125984"/>
  <pageSetup paperSize="9" scale="60"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rgb="FFCCFF99"/>
  </sheetPr>
  <dimension ref="B2:I33"/>
  <sheetViews>
    <sheetView showGridLines="0" zoomScale="115" zoomScaleNormal="100" zoomScaleSheetLayoutView="100" workbookViewId="0">
      <selection activeCell="D24" sqref="D24"/>
    </sheetView>
  </sheetViews>
  <sheetFormatPr defaultColWidth="9" defaultRowHeight="14.25"/>
  <cols>
    <col min="1" max="1" width="3.7109375" style="1" customWidth="1"/>
    <col min="2" max="2" width="16.42578125" style="1" customWidth="1"/>
    <col min="3" max="3" width="23.85546875" style="22" customWidth="1"/>
    <col min="4" max="4" width="31.7109375" style="22" customWidth="1"/>
    <col min="5" max="7" width="15.5703125" style="1" customWidth="1"/>
    <col min="8" max="8" width="17.140625" style="1" customWidth="1"/>
    <col min="9" max="9" width="15.5703125" style="1" customWidth="1"/>
    <col min="10" max="16384" width="9" style="1"/>
  </cols>
  <sheetData>
    <row r="2" spans="2:9" ht="23.25" customHeight="1">
      <c r="B2" s="407" t="s">
        <v>11</v>
      </c>
      <c r="C2" s="407"/>
    </row>
    <row r="4" spans="2:9" s="22" customFormat="1" ht="42.75">
      <c r="B4" s="21" t="s">
        <v>190</v>
      </c>
      <c r="E4" s="286" t="str">
        <f ca="1">'3. Costing Tool'!C2</f>
        <v>Target Scenario</v>
      </c>
      <c r="F4" s="286" t="str">
        <f ca="1">'3. Costing Tool'!D2</f>
        <v>Intermediate Scenario 2</v>
      </c>
      <c r="G4" s="286" t="str">
        <f ca="1">'3. Costing Tool'!E2</f>
        <v>Intermediate Scenario 1</v>
      </c>
      <c r="H4" s="286" t="str">
        <f ca="1">'3. Costing Tool'!F2</f>
        <v>Current Scenario 
with ANC data</v>
      </c>
      <c r="I4" s="286" t="str">
        <f ca="1">'3. Costing Tool'!G2</f>
        <v>Current Scenario without ANC data</v>
      </c>
    </row>
    <row r="5" spans="2:9" ht="14.25" customHeight="1">
      <c r="C5" s="409" t="s">
        <v>128</v>
      </c>
      <c r="D5" s="23" t="s">
        <v>134</v>
      </c>
      <c r="E5" s="24">
        <f ca="1">'3. Costing Tool'!C27*2+'3. Costing Tool'!C28+'3. Costing Tool'!C32+'3. Costing Tool'!C34+'3. Costing Tool'!C36+'3. Costing Tool'!C57+'3. Costing Tool'!C59+'3. Costing Tool'!C80+'3. Costing Tool'!C84+'3. Costing Tool'!C90+'3. Costing Tool'!C92*2+'3. Costing Tool'!C93+'3. Costing Tool'!C95+'3. Costing Tool'!C97*'3. Costing Tool'!C98</f>
        <v>904.23166666666668</v>
      </c>
      <c r="F5" s="24">
        <f ca="1">'3. Costing Tool'!D27*2+'3. Costing Tool'!D28+'3. Costing Tool'!D32+'3. Costing Tool'!D34+'3. Costing Tool'!D36+'3. Costing Tool'!D57+'3. Costing Tool'!D59+'3. Costing Tool'!D80+'3. Costing Tool'!D84+'3. Costing Tool'!D90+'3. Costing Tool'!D92*2+'3. Costing Tool'!D93+'3. Costing Tool'!D95+'3. Costing Tool'!D97*'3. Costing Tool'!D98</f>
        <v>904.23166666666668</v>
      </c>
      <c r="G5" s="24">
        <f ca="1">'3. Costing Tool'!E27*2+'3. Costing Tool'!E28+'3. Costing Tool'!E32+'3. Costing Tool'!E34+'3. Costing Tool'!E36+'3. Costing Tool'!E57+'3. Costing Tool'!E59+'3. Costing Tool'!E80+'3. Costing Tool'!E84+'3. Costing Tool'!E90+'3. Costing Tool'!E92*2+'3. Costing Tool'!E93+'3. Costing Tool'!E95+'3. Costing Tool'!E97*'3. Costing Tool'!E98</f>
        <v>904.23166666666668</v>
      </c>
      <c r="H5" s="24">
        <f ca="1">'3. Costing Tool'!F27*2+'3. Costing Tool'!F28+'3. Costing Tool'!F32+'3. Costing Tool'!F34+'3. Costing Tool'!F36+'3. Costing Tool'!F57+'3. Costing Tool'!F59+'3. Costing Tool'!F80+'3. Costing Tool'!F84+'3. Costing Tool'!F90+'3. Costing Tool'!F92*2+'3. Costing Tool'!F93+'3. Costing Tool'!F95+'3. Costing Tool'!F97*'3. Costing Tool'!F98</f>
        <v>904.23166666666668</v>
      </c>
      <c r="I5" s="24">
        <f ca="1">'3. Costing Tool'!G27*2+'3. Costing Tool'!G28+'3. Costing Tool'!G32+'3. Costing Tool'!G34+'3. Costing Tool'!G36+'3. Costing Tool'!G57+'3. Costing Tool'!G59+'3. Costing Tool'!G80+'3. Costing Tool'!G84+'3. Costing Tool'!G90+'3. Costing Tool'!G92*2+'3. Costing Tool'!G93+'3. Costing Tool'!G95+'3. Costing Tool'!G97*'3. Costing Tool'!G98</f>
        <v>904.23166666666668</v>
      </c>
    </row>
    <row r="6" spans="2:9" ht="14.25" customHeight="1">
      <c r="C6" s="409"/>
      <c r="D6" s="23" t="s">
        <v>133</v>
      </c>
      <c r="E6" s="249">
        <f ca="1">'3. Costing Tool'!C27*2+'3. Costing Tool'!C28+'3. Costing Tool'!C32+'3. Costing Tool'!C34+'3. Costing Tool'!C36+'3. Costing Tool'!C58+'3. Costing Tool'!C59+'3. Costing Tool'!C80+'3. Costing Tool'!C84+'3. Costing Tool'!C90+'3. Costing Tool'!C92*2+'3. Costing Tool'!C93+'3. Costing Tool'!C95+'3. Costing Tool'!C97*'3. Costing Tool'!C98</f>
        <v>1102.6816666666666</v>
      </c>
      <c r="F6" s="249">
        <f ca="1">'3. Costing Tool'!D27*2+'3. Costing Tool'!D28+'3. Costing Tool'!D32+'3. Costing Tool'!D34+'3. Costing Tool'!D36+'3. Costing Tool'!D58+'3. Costing Tool'!D59+'3. Costing Tool'!D80+'3. Costing Tool'!D84+'3. Costing Tool'!D90+'3. Costing Tool'!D92*2+'3. Costing Tool'!D93+'3. Costing Tool'!D95+'3. Costing Tool'!D97*'3. Costing Tool'!D98</f>
        <v>1102.6816666666666</v>
      </c>
      <c r="G6" s="249">
        <f ca="1">'3. Costing Tool'!E27*2+'3. Costing Tool'!E28+'3. Costing Tool'!E32+'3. Costing Tool'!E34+'3. Costing Tool'!E36+'3. Costing Tool'!E58+'3. Costing Tool'!E59+'3. Costing Tool'!E80+'3. Costing Tool'!E84+'3. Costing Tool'!E90+'3. Costing Tool'!E92*2+'3. Costing Tool'!E93+'3. Costing Tool'!E95+'3. Costing Tool'!E97*'3. Costing Tool'!E98</f>
        <v>1102.6816666666666</v>
      </c>
      <c r="H6" s="249">
        <f ca="1">'3. Costing Tool'!F27*2+'3. Costing Tool'!F28+'3. Costing Tool'!F32+'3. Costing Tool'!F34+'3. Costing Tool'!F36+'3. Costing Tool'!F58+'3. Costing Tool'!F59+'3. Costing Tool'!F80+'3. Costing Tool'!F84+'3. Costing Tool'!F90+'3. Costing Tool'!F92*2+'3. Costing Tool'!F93+'3. Costing Tool'!F95+'3. Costing Tool'!F97*'3. Costing Tool'!F98</f>
        <v>1102.6816666666666</v>
      </c>
      <c r="I6" s="249">
        <f ca="1">'3. Costing Tool'!G27*2+'3. Costing Tool'!G28+'3. Costing Tool'!G32+'3. Costing Tool'!G34+'3. Costing Tool'!G36+'3. Costing Tool'!G58+'3. Costing Tool'!G59+'3. Costing Tool'!G80+'3. Costing Tool'!G84+'3. Costing Tool'!G90+'3. Costing Tool'!G92*2+'3. Costing Tool'!G93+'3. Costing Tool'!G95+'3. Costing Tool'!G97*'3. Costing Tool'!G98</f>
        <v>1102.6816666666666</v>
      </c>
    </row>
    <row r="7" spans="2:9">
      <c r="C7" s="409"/>
      <c r="D7" s="10" t="s">
        <v>132</v>
      </c>
      <c r="E7" s="249">
        <f ca="1">'3. Costing Tool'!C27*2+'3. Costing Tool'!C28+'3. Costing Tool'!C32+'3. Costing Tool'!C34+'3. Costing Tool'!C36+'3. Costing Tool'!C68+'3. Costing Tool'!C69+'3. Costing Tool'!C80+'3. Costing Tool'!C84+'3. Costing Tool'!C90+'3. Costing Tool'!C92*2+'3. Costing Tool'!C93+'3. Costing Tool'!C95+'3. Costing Tool'!C97*'3. Costing Tool'!C98</f>
        <v>1102.6816666666666</v>
      </c>
      <c r="F7" s="249">
        <f ca="1">'3. Costing Tool'!D27*2+'3. Costing Tool'!D28+'3. Costing Tool'!D32+'3. Costing Tool'!D34+'3. Costing Tool'!D36+'3. Costing Tool'!D68+'3. Costing Tool'!D69+'3. Costing Tool'!D80+'3. Costing Tool'!D84+'3. Costing Tool'!D90+'3. Costing Tool'!D92*2+'3. Costing Tool'!D93+'3. Costing Tool'!D95+'3. Costing Tool'!D97*'3. Costing Tool'!D98</f>
        <v>1102.6816666666666</v>
      </c>
      <c r="G7" s="249">
        <f ca="1">'3. Costing Tool'!E27*2+'3. Costing Tool'!E28+'3. Costing Tool'!E32+'3. Costing Tool'!E34+'3. Costing Tool'!E36+'3. Costing Tool'!E68+'3. Costing Tool'!E69+'3. Costing Tool'!E80+'3. Costing Tool'!E84+'3. Costing Tool'!E90+'3. Costing Tool'!E92*2+'3. Costing Tool'!E93+'3. Costing Tool'!E95+'3. Costing Tool'!E97*'3. Costing Tool'!E98</f>
        <v>1102.6816666666666</v>
      </c>
      <c r="H7" s="249">
        <f ca="1">'3. Costing Tool'!F27*2+'3. Costing Tool'!F28+'3. Costing Tool'!F32+'3. Costing Tool'!F34+'3. Costing Tool'!F36+'3. Costing Tool'!F68+'3. Costing Tool'!F69+'3. Costing Tool'!F80+'3. Costing Tool'!F84+'3. Costing Tool'!F90+'3. Costing Tool'!F92*2+'3. Costing Tool'!F93+'3. Costing Tool'!F95+'3. Costing Tool'!F97*'3. Costing Tool'!F98</f>
        <v>1102.6816666666666</v>
      </c>
      <c r="I7" s="249">
        <f ca="1">'3. Costing Tool'!G27*2+'3. Costing Tool'!G28+'3. Costing Tool'!G32+'3. Costing Tool'!G34+'3. Costing Tool'!G36+'3. Costing Tool'!G68+'3. Costing Tool'!G69+'3. Costing Tool'!G80+'3. Costing Tool'!G84+'3. Costing Tool'!G90+'3. Costing Tool'!G92*2+'3. Costing Tool'!G93+'3. Costing Tool'!G95+'3. Costing Tool'!G97*'3. Costing Tool'!G98</f>
        <v>1102.6816666666666</v>
      </c>
    </row>
    <row r="8" spans="2:9">
      <c r="C8" s="409"/>
      <c r="D8" s="25" t="s">
        <v>220</v>
      </c>
      <c r="E8" s="26">
        <f ca="1">'3. Costing Tool'!C80</f>
        <v>414.88166666666666</v>
      </c>
      <c r="F8" s="26">
        <f ca="1">'3. Costing Tool'!D80</f>
        <v>414.88166666666666</v>
      </c>
      <c r="G8" s="26">
        <f ca="1">'3. Costing Tool'!E80</f>
        <v>414.88166666666666</v>
      </c>
      <c r="H8" s="26">
        <f ca="1">'3. Costing Tool'!F80</f>
        <v>414.88166666666666</v>
      </c>
      <c r="I8" s="26">
        <f ca="1">'3. Costing Tool'!G80</f>
        <v>414.88166666666666</v>
      </c>
    </row>
    <row r="10" spans="2:9">
      <c r="C10" s="408" t="s">
        <v>129</v>
      </c>
      <c r="D10" s="25" t="s">
        <v>135</v>
      </c>
      <c r="E10" s="27">
        <f ca="1">'3. Costing Tool'!C29+'3. Costing Tool'!C30+'3. Costing Tool'!C31+'3. Costing Tool'!C35+'3. Costing Tool'!C37+'3. Costing Tool'!C94</f>
        <v>171439.95145631069</v>
      </c>
      <c r="F10" s="27">
        <f ca="1">'3. Costing Tool'!D29+'3. Costing Tool'!D30+'3. Costing Tool'!D31+'3. Costing Tool'!D35+'3. Costing Tool'!D37+'3. Costing Tool'!D94</f>
        <v>142223.15533980582</v>
      </c>
      <c r="G10" s="27">
        <f ca="1">'3. Costing Tool'!E29+'3. Costing Tool'!E30+'3. Costing Tool'!E31+'3. Costing Tool'!E35+'3. Costing Tool'!E37+'3. Costing Tool'!E94</f>
        <v>122758.25242718446</v>
      </c>
      <c r="H10" s="27">
        <f ca="1">'3. Costing Tool'!F29+'3. Costing Tool'!F30+'3. Costing Tool'!F31+'3. Costing Tool'!F35+'3. Costing Tool'!F37+'3. Costing Tool'!F94</f>
        <v>104022.08737864078</v>
      </c>
      <c r="I10" s="27">
        <f ca="1">'3. Costing Tool'!G29+'3. Costing Tool'!G30+'3. Costing Tool'!G31+'3. Costing Tool'!G35+'3. Costing Tool'!G37+'3. Costing Tool'!G94</f>
        <v>76794.174757281551</v>
      </c>
    </row>
    <row r="11" spans="2:9">
      <c r="C11" s="408"/>
      <c r="D11" s="25" t="s">
        <v>136</v>
      </c>
      <c r="E11" s="27">
        <f ca="1">'3. Costing Tool'!C60+'3. Costing Tool'!C61+'3. Costing Tool'!C70+'3. Costing Tool'!C71+'3. Costing Tool'!C91</f>
        <v>86221.64578161898</v>
      </c>
      <c r="F11" s="27">
        <f ca="1">'3. Costing Tool'!D60+'3. Costing Tool'!D61+'3. Costing Tool'!D70+'3. Costing Tool'!D71+'3. Costing Tool'!D91</f>
        <v>65392.185647467843</v>
      </c>
      <c r="G11" s="27">
        <f ca="1">'3. Costing Tool'!E60+'3. Costing Tool'!E61+'3. Costing Tool'!E70+'3. Costing Tool'!E71+'3. Costing Tool'!E91</f>
        <v>50910.871178824447</v>
      </c>
      <c r="H11" s="27">
        <f ca="1">'3. Costing Tool'!F60+'3. Costing Tool'!F61+'3. Costing Tool'!F70+'3. Costing Tool'!F71+'3. Costing Tool'!F91</f>
        <v>38239.721018761476</v>
      </c>
      <c r="I11" s="27">
        <f ca="1">'3. Costing Tool'!G60+'3. Costing Tool'!G61+'3. Costing Tool'!G70+'3. Costing Tool'!G71+'3. Costing Tool'!G91</f>
        <v>40225.873524009439</v>
      </c>
    </row>
    <row r="12" spans="2:9">
      <c r="C12" s="408"/>
      <c r="D12" s="25" t="s">
        <v>137</v>
      </c>
      <c r="E12" s="27">
        <f ca="1">'3. Costing Tool'!C33+'3. Costing Tool'!C89+'3. Costing Tool'!C96+'3. Costing Tool'!C99</f>
        <v>117989.93948469007</v>
      </c>
      <c r="F12" s="27">
        <f ca="1">'3. Costing Tool'!D33+'3. Costing Tool'!D89+'3. Costing Tool'!D96+'3. Costing Tool'!D99</f>
        <v>90125.4542643764</v>
      </c>
      <c r="G12" s="27">
        <f ca="1">'3. Costing Tool'!E33+'3. Costing Tool'!E89+'3. Costing Tool'!E96+'3. Costing Tool'!E99</f>
        <v>70797.918371919339</v>
      </c>
      <c r="H12" s="27">
        <f ca="1">'3. Costing Tool'!F33+'3. Costing Tool'!F89+'3. Costing Tool'!F96+'3. Costing Tool'!F99</f>
        <v>53796.324466019418</v>
      </c>
      <c r="I12" s="27">
        <f ca="1">'3. Costing Tool'!G33+'3. Costing Tool'!G89+'3. Costing Tool'!G96+'3. Costing Tool'!G99</f>
        <v>54868.399701269605</v>
      </c>
    </row>
    <row r="13" spans="2:9">
      <c r="C13" s="408"/>
      <c r="D13" s="25" t="s">
        <v>220</v>
      </c>
      <c r="E13" s="26">
        <f ca="1">'3. Costing Tool'!C81</f>
        <v>177854.58447916666</v>
      </c>
      <c r="F13" s="26">
        <f ca="1">'3. Costing Tool'!D81</f>
        <v>134888.40187500001</v>
      </c>
      <c r="G13" s="26">
        <f ca="1">'3. Costing Tool'!E81</f>
        <v>105016.921875</v>
      </c>
      <c r="H13" s="26">
        <f ca="1">'3. Costing Tool'!F81</f>
        <v>78879.376875000002</v>
      </c>
      <c r="I13" s="26">
        <f ca="1">'3. Costing Tool'!G81</f>
        <v>82976.333333333328</v>
      </c>
    </row>
    <row r="14" spans="2:9">
      <c r="C14" s="408"/>
      <c r="D14" s="28" t="s">
        <v>208</v>
      </c>
      <c r="E14" s="29">
        <f>SUM(E10:E13)</f>
        <v>553506.12120178645</v>
      </c>
      <c r="F14" s="29">
        <f>SUM(F10:F13)</f>
        <v>432629.19712665002</v>
      </c>
      <c r="G14" s="29">
        <f>SUM(G10:G13)</f>
        <v>349483.96385292825</v>
      </c>
      <c r="H14" s="29">
        <f>SUM(H10:H13)</f>
        <v>274937.50973842171</v>
      </c>
      <c r="I14" s="29">
        <f>SUM(I10:I13)</f>
        <v>254864.78131589392</v>
      </c>
    </row>
    <row r="15" spans="2:9">
      <c r="C15" s="30"/>
      <c r="D15" s="30"/>
      <c r="E15" s="31"/>
      <c r="F15" s="31"/>
      <c r="G15" s="31"/>
      <c r="H15" s="31"/>
      <c r="I15" s="31"/>
    </row>
    <row r="17" spans="2:9" ht="42.75">
      <c r="B17" s="32" t="s">
        <v>473</v>
      </c>
      <c r="E17" s="278" t="str">
        <f ca="1">'3. Costing Tool'!C2</f>
        <v>Target Scenario</v>
      </c>
      <c r="F17" s="278" t="str">
        <f ca="1">'3. Costing Tool'!D2</f>
        <v>Intermediate Scenario 2</v>
      </c>
      <c r="G17" s="278" t="str">
        <f ca="1">'3. Costing Tool'!E2</f>
        <v>Intermediate Scenario 1</v>
      </c>
      <c r="H17" s="278" t="str">
        <f ca="1">'3. Costing Tool'!F2</f>
        <v>Current Scenario 
with ANC data</v>
      </c>
      <c r="I17" s="278" t="str">
        <f ca="1">'3. Costing Tool'!G2</f>
        <v>Current Scenario without ANC data</v>
      </c>
    </row>
    <row r="18" spans="2:9" ht="23.25" customHeight="1">
      <c r="C18" s="410" t="s">
        <v>130</v>
      </c>
      <c r="D18" s="411"/>
      <c r="E18" s="24">
        <f ca="1">'3. Costing Tool'!C110*3+'3. Costing Tool'!C113*4+'3. Costing Tool'!C116+'3. Costing Tool'!C118*3</f>
        <v>6.4999999999999991</v>
      </c>
      <c r="F18" s="24">
        <f ca="1">'3. Costing Tool'!D110*3+'3. Costing Tool'!D113*4+'3. Costing Tool'!D116+'3. Costing Tool'!D118*3</f>
        <v>6.4999999999999991</v>
      </c>
      <c r="G18" s="24">
        <f ca="1">'3. Costing Tool'!E110*3+'3. Costing Tool'!E113*4+'3. Costing Tool'!E116+'3. Costing Tool'!E118*3</f>
        <v>6.4999999999999991</v>
      </c>
      <c r="H18" s="24">
        <f ca="1">'3. Costing Tool'!F110*3+'3. Costing Tool'!F113*4+'3. Costing Tool'!F116+'3. Costing Tool'!F118*3</f>
        <v>6.4999999999999991</v>
      </c>
      <c r="I18" s="24">
        <f ca="1">'3. Costing Tool'!G110*3+'3. Costing Tool'!G113*4+'3. Costing Tool'!G116+'3. Costing Tool'!G118*3</f>
        <v>6.4999999999999991</v>
      </c>
    </row>
    <row r="20" spans="2:9">
      <c r="C20" s="408" t="s">
        <v>129</v>
      </c>
      <c r="D20" s="25" t="s">
        <v>135</v>
      </c>
      <c r="E20" s="266">
        <f ca="1">'3. Costing Tool'!C111+'3. Costing Tool'!C112+'3. Costing Tool'!C119</f>
        <v>128782.23749999999</v>
      </c>
      <c r="F20" s="266">
        <f ca="1">'3. Costing Tool'!D111+'3. Costing Tool'!D112+'3. Costing Tool'!D119</f>
        <v>109001.02499999999</v>
      </c>
      <c r="G20" s="266">
        <f ca="1">'3. Costing Tool'!E111+'3. Costing Tool'!E112+'3. Costing Tool'!E119</f>
        <v>96035.625</v>
      </c>
      <c r="H20" s="266">
        <f ca="1">'3. Costing Tool'!F111+'3. Costing Tool'!F112+'3. Costing Tool'!F119</f>
        <v>83108.024999999994</v>
      </c>
      <c r="I20" s="266">
        <f ca="1">'3. Costing Tool'!G111+'3. Costing Tool'!G112+'3. Costing Tool'!G119</f>
        <v>71347.5</v>
      </c>
    </row>
    <row r="21" spans="2:9">
      <c r="C21" s="408"/>
      <c r="D21" s="25" t="s">
        <v>136</v>
      </c>
      <c r="E21" s="249">
        <f ca="1">'3. Costing Tool'!C114+'3. Costing Tool'!C115+'3. Costing Tool'!C117</f>
        <v>1971.9625000000001</v>
      </c>
      <c r="F21" s="249">
        <f ca="1">'3. Costing Tool'!D114+'3. Costing Tool'!D115+'3. Costing Tool'!D117</f>
        <v>1495.575</v>
      </c>
      <c r="G21" s="249">
        <f ca="1">'3. Costing Tool'!E114+'3. Costing Tool'!E115+'3. Costing Tool'!E117</f>
        <v>1164.375</v>
      </c>
      <c r="H21" s="249">
        <f ca="1">'3. Costing Tool'!F114+'3. Costing Tool'!F115+'3. Costing Tool'!F117</f>
        <v>874.57500000000005</v>
      </c>
      <c r="I21" s="249">
        <f ca="1">'3. Costing Tool'!G114+'3. Costing Tool'!G115+'3. Costing Tool'!G117</f>
        <v>1092.5</v>
      </c>
    </row>
    <row r="22" spans="2:9">
      <c r="C22" s="408"/>
      <c r="D22" s="33" t="s">
        <v>208</v>
      </c>
      <c r="E22" s="267">
        <f>SUM(E20:E21)</f>
        <v>130754.19999999998</v>
      </c>
      <c r="F22" s="267">
        <f>SUM(F20:F21)</f>
        <v>110496.59999999999</v>
      </c>
      <c r="G22" s="267">
        <f>SUM(G20:G21)</f>
        <v>97200</v>
      </c>
      <c r="H22" s="267">
        <f>SUM(H20:H21)</f>
        <v>83982.599999999991</v>
      </c>
      <c r="I22" s="267">
        <f>SUM(I20:I21)</f>
        <v>72440</v>
      </c>
    </row>
    <row r="23" spans="2:9">
      <c r="C23" s="30"/>
      <c r="D23" s="34"/>
      <c r="E23" s="35"/>
      <c r="F23" s="35"/>
      <c r="G23" s="35"/>
      <c r="H23" s="35"/>
      <c r="I23" s="35"/>
    </row>
    <row r="25" spans="2:9" s="22" customFormat="1" ht="45" customHeight="1">
      <c r="B25" s="32" t="s">
        <v>309</v>
      </c>
      <c r="E25" s="286" t="str">
        <f ca="1">'3. Costing Tool'!C2</f>
        <v>Target Scenario</v>
      </c>
      <c r="F25" s="286" t="str">
        <f ca="1">'3. Costing Tool'!D2</f>
        <v>Intermediate Scenario 2</v>
      </c>
      <c r="G25" s="286" t="str">
        <f ca="1">'3. Costing Tool'!E2</f>
        <v>Intermediate Scenario 1</v>
      </c>
      <c r="H25" s="286" t="str">
        <f ca="1">'3. Costing Tool'!F2</f>
        <v>Current Scenario 
with ANC data</v>
      </c>
      <c r="I25" s="286" t="str">
        <f ca="1">'3. Costing Tool'!G2</f>
        <v>Current Scenario without ANC data</v>
      </c>
    </row>
    <row r="26" spans="2:9" ht="28.5">
      <c r="C26" s="409" t="s">
        <v>131</v>
      </c>
      <c r="D26" s="25" t="s">
        <v>138</v>
      </c>
      <c r="E26" s="249">
        <f ca="1">'3. Costing Tool'!C138+'3. Costing Tool'!C139+'3. Costing Tool'!C141+'3. Costing Tool'!C147+'3. Costing Tool'!C163+'3. Costing Tool'!C167*15+'3. Costing Tool'!C169*15</f>
        <v>9364.58</v>
      </c>
      <c r="F26" s="249">
        <f ca="1">'3. Costing Tool'!D138+'3. Costing Tool'!D139+'3. Costing Tool'!D141+'3. Costing Tool'!D147+'3. Costing Tool'!D163+'3. Costing Tool'!D167*15+'3. Costing Tool'!D169*15</f>
        <v>9364.58</v>
      </c>
      <c r="G26" s="249">
        <f ca="1">'3. Costing Tool'!E138+'3. Costing Tool'!E139+'3. Costing Tool'!E141+'3. Costing Tool'!E147+'3. Costing Tool'!E163+'3. Costing Tool'!E167*15+'3. Costing Tool'!E169*15</f>
        <v>9364.58</v>
      </c>
      <c r="H26" s="249">
        <f ca="1">'3. Costing Tool'!F138+'3. Costing Tool'!F139+'3. Costing Tool'!F141+'3. Costing Tool'!F147+'3. Costing Tool'!F163+'3. Costing Tool'!F167*15+'3. Costing Tool'!F169*15</f>
        <v>9364.58</v>
      </c>
      <c r="I26" s="249">
        <f ca="1">'3. Costing Tool'!G138+'3. Costing Tool'!G139+'3. Costing Tool'!G141+'3. Costing Tool'!G147+'3. Costing Tool'!G163+'3. Costing Tool'!G167*15+'3. Costing Tool'!G169*15</f>
        <v>9364.58</v>
      </c>
    </row>
    <row r="27" spans="2:9" ht="28.5">
      <c r="C27" s="409"/>
      <c r="D27" s="25" t="s">
        <v>139</v>
      </c>
      <c r="E27" s="249">
        <f ca="1">'3. Costing Tool'!C138+'3. Costing Tool'!C139+'3. Costing Tool'!C141+'3. Costing Tool'!C153+'3. Costing Tool'!C163+'3. Costing Tool'!C167*15+'3. Costing Tool'!C169*15</f>
        <v>6661.88</v>
      </c>
      <c r="F27" s="249">
        <f ca="1">'3. Costing Tool'!D138+'3. Costing Tool'!D139+'3. Costing Tool'!D141+'3. Costing Tool'!D153+'3. Costing Tool'!D163+'3. Costing Tool'!D167*15+'3. Costing Tool'!D169*15</f>
        <v>6661.88</v>
      </c>
      <c r="G27" s="249">
        <f ca="1">'3. Costing Tool'!E138+'3. Costing Tool'!E139+'3. Costing Tool'!E141+'3. Costing Tool'!E153+'3. Costing Tool'!E163+'3. Costing Tool'!E167*15+'3. Costing Tool'!E169*15</f>
        <v>6661.88</v>
      </c>
      <c r="H27" s="249">
        <f ca="1">'3. Costing Tool'!F138+'3. Costing Tool'!F139+'3. Costing Tool'!F141+'3. Costing Tool'!F153+'3. Costing Tool'!F163+'3. Costing Tool'!F167*15+'3. Costing Tool'!F169*15</f>
        <v>6661.88</v>
      </c>
      <c r="I27" s="249">
        <f ca="1">'3. Costing Tool'!G138+'3. Costing Tool'!G139+'3. Costing Tool'!G141+'3. Costing Tool'!G153+'3. Costing Tool'!G163+'3. Costing Tool'!G167*15+'3. Costing Tool'!G169*15</f>
        <v>6661.88</v>
      </c>
    </row>
    <row r="28" spans="2:9">
      <c r="C28" s="409"/>
      <c r="D28" s="10" t="s">
        <v>140</v>
      </c>
      <c r="E28" s="249">
        <f ca="1">'3. Costing Tool'!C138+'3. Costing Tool'!C139+'3. Costing Tool'!C141+'3. Costing Tool'!C159+'3. Costing Tool'!C163+'3. Costing Tool'!C167*15+'3. Costing Tool'!C169*15</f>
        <v>6661.88</v>
      </c>
      <c r="F28" s="249">
        <f ca="1">'3. Costing Tool'!D138+'3. Costing Tool'!D139+'3. Costing Tool'!D141+'3. Costing Tool'!D159+'3. Costing Tool'!D163+'3. Costing Tool'!D167*15+'3. Costing Tool'!D169*15</f>
        <v>6661.88</v>
      </c>
      <c r="G28" s="249">
        <f ca="1">'3. Costing Tool'!E138+'3. Costing Tool'!E139+'3. Costing Tool'!E141+'3. Costing Tool'!E159+'3. Costing Tool'!E163+'3. Costing Tool'!E167*15+'3. Costing Tool'!E169*15</f>
        <v>6661.88</v>
      </c>
      <c r="H28" s="249">
        <f ca="1">'3. Costing Tool'!F138+'3. Costing Tool'!F139+'3. Costing Tool'!F141+'3. Costing Tool'!F159+'3. Costing Tool'!F163+'3. Costing Tool'!F167*15+'3. Costing Tool'!F169*15</f>
        <v>6661.88</v>
      </c>
      <c r="I28" s="249">
        <f ca="1">'3. Costing Tool'!G138+'3. Costing Tool'!G139+'3. Costing Tool'!G141+'3. Costing Tool'!G159+'3. Costing Tool'!G163+'3. Costing Tool'!G167*15+'3. Costing Tool'!G169*15</f>
        <v>6661.88</v>
      </c>
    </row>
    <row r="29" spans="2:9">
      <c r="E29" s="232"/>
      <c r="F29" s="232"/>
      <c r="G29" s="232"/>
      <c r="H29" s="232"/>
      <c r="I29" s="232"/>
    </row>
    <row r="30" spans="2:9">
      <c r="C30" s="408" t="s">
        <v>129</v>
      </c>
      <c r="D30" s="25" t="s">
        <v>135</v>
      </c>
      <c r="E30" s="249">
        <f ca="1">'3. Costing Tool'!C137+'3. Costing Tool'!C140+'3. Costing Tool'!C170</f>
        <v>89776.095240000053</v>
      </c>
      <c r="F30" s="249">
        <f ca="1">'3. Costing Tool'!D137+'3. Costing Tool'!D140+'3. Costing Tool'!D170</f>
        <v>185239.91672000007</v>
      </c>
      <c r="G30" s="249">
        <f ca="1">'3. Costing Tool'!E137+'3. Costing Tool'!E140+'3. Costing Tool'!E170</f>
        <v>273577.16600000003</v>
      </c>
      <c r="H30" s="249">
        <f ca="1">'3. Costing Tool'!F137+'3. Costing Tool'!F140+'3. Costing Tool'!F170</f>
        <v>350872.25912</v>
      </c>
      <c r="I30" s="249">
        <f ca="1">'3. Costing Tool'!G137+'3. Costing Tool'!G140+'3. Costing Tool'!G170</f>
        <v>401951.87200000009</v>
      </c>
    </row>
    <row r="31" spans="2:9">
      <c r="C31" s="408"/>
      <c r="D31" s="25" t="s">
        <v>136</v>
      </c>
      <c r="E31" s="27">
        <f ca="1">'3. Costing Tool'!C148+'3. Costing Tool'!C154+'3. Costing Tool'!C160+'3. Costing Tool'!C164+'3. Costing Tool'!C178</f>
        <v>88805.31627445991</v>
      </c>
      <c r="F31" s="27">
        <f ca="1">'3. Costing Tool'!D148+'3. Costing Tool'!D154+'3. Costing Tool'!D160+'3. Costing Tool'!D164+'3. Costing Tool'!D178</f>
        <v>171777.5641551108</v>
      </c>
      <c r="G31" s="27">
        <f ca="1">'3. Costing Tool'!E148+'3. Costing Tool'!E154+'3. Costing Tool'!E160+'3. Costing Tool'!E164+'3. Costing Tool'!E178</f>
        <v>249735.11415219435</v>
      </c>
      <c r="H31" s="27">
        <f ca="1">'3. Costing Tool'!F148+'3. Costing Tool'!F154+'3. Costing Tool'!F160+'3. Costing Tool'!F164+'3. Costing Tool'!F178</f>
        <v>317947.97039964248</v>
      </c>
      <c r="I31" s="27">
        <f ca="1">'3. Costing Tool'!G148+'3. Costing Tool'!G154+'3. Costing Tool'!G160+'3. Costing Tool'!G164+'3. Costing Tool'!G178</f>
        <v>365574.67931785091</v>
      </c>
    </row>
    <row r="32" spans="2:9">
      <c r="C32" s="408"/>
      <c r="D32" s="25" t="s">
        <v>137</v>
      </c>
      <c r="E32" s="27">
        <f ca="1">'3. Costing Tool'!C142+'3. Costing Tool'!C168</f>
        <v>22771.472335000013</v>
      </c>
      <c r="F32" s="27">
        <f ca="1">'3. Costing Tool'!D142+'3. Costing Tool'!D168</f>
        <v>46586.969130000012</v>
      </c>
      <c r="G32" s="27">
        <f ca="1">'3. Costing Tool'!E142+'3. Costing Tool'!E168</f>
        <v>68878.67025000001</v>
      </c>
      <c r="H32" s="27">
        <f ca="1">'3. Costing Tool'!F142+'3. Costing Tool'!F168</f>
        <v>88383.90873000001</v>
      </c>
      <c r="I32" s="27">
        <f ca="1">'3. Costing Tool'!G142+'3. Costing Tool'!G168</f>
        <v>101822.88800000002</v>
      </c>
    </row>
    <row r="33" spans="3:9">
      <c r="C33" s="408"/>
      <c r="D33" s="28" t="s">
        <v>208</v>
      </c>
      <c r="E33" s="29">
        <f>SUM(E30:E32)</f>
        <v>201352.88384945999</v>
      </c>
      <c r="F33" s="29">
        <f>SUM(F30:F32)</f>
        <v>403604.45000511082</v>
      </c>
      <c r="G33" s="29">
        <f>SUM(G30:G32)</f>
        <v>592190.9504021944</v>
      </c>
      <c r="H33" s="29">
        <f>SUM(H30:H32)</f>
        <v>757204.13824964245</v>
      </c>
      <c r="I33" s="29">
        <f>SUM(I30:I32)</f>
        <v>869349.43931785109</v>
      </c>
    </row>
  </sheetData>
  <mergeCells count="7">
    <mergeCell ref="B2:C2"/>
    <mergeCell ref="C30:C33"/>
    <mergeCell ref="C5:C8"/>
    <mergeCell ref="C10:C14"/>
    <mergeCell ref="C20:C22"/>
    <mergeCell ref="C26:C28"/>
    <mergeCell ref="C18:D18"/>
  </mergeCells>
  <phoneticPr fontId="5"/>
  <pageMargins left="0.7" right="0.7" top="0.75" bottom="0.75" header="0.3" footer="0.3"/>
  <pageSetup scale="57" orientation="portrait" horizontalDpi="1200" verticalDpi="1200" r:id="rId1"/>
</worksheet>
</file>

<file path=xl/worksheets/sheet5.xml><?xml version="1.0" encoding="utf-8"?>
<worksheet xmlns="http://schemas.openxmlformats.org/spreadsheetml/2006/main" xmlns:r="http://schemas.openxmlformats.org/officeDocument/2006/relationships">
  <sheetPr>
    <tabColor indexed="24"/>
  </sheetPr>
  <dimension ref="B2:G48"/>
  <sheetViews>
    <sheetView showGridLines="0" zoomScaleNormal="100" workbookViewId="0">
      <selection activeCell="B18" sqref="B18"/>
    </sheetView>
  </sheetViews>
  <sheetFormatPr defaultColWidth="9" defaultRowHeight="14.25"/>
  <cols>
    <col min="1" max="1" width="1.42578125" style="1" customWidth="1"/>
    <col min="2" max="2" width="16.42578125" style="22" customWidth="1"/>
    <col min="3" max="5" width="12.5703125" style="1" customWidth="1"/>
    <col min="6" max="6" width="16.85546875" style="1" customWidth="1"/>
    <col min="7" max="7" width="15.5703125" style="1" bestFit="1" customWidth="1"/>
    <col min="8" max="16384" width="9" style="1"/>
  </cols>
  <sheetData>
    <row r="2" spans="2:7" ht="23.25" customHeight="1">
      <c r="B2" s="407" t="s">
        <v>142</v>
      </c>
      <c r="C2" s="415"/>
    </row>
    <row r="4" spans="2:7">
      <c r="B4" s="415" t="s">
        <v>143</v>
      </c>
      <c r="C4" s="415"/>
      <c r="D4" s="415"/>
    </row>
    <row r="5" spans="2:7" s="22" customFormat="1" ht="42.75">
      <c r="C5" s="279" t="str">
        <f ca="1">'3. Costing Tool'!C2</f>
        <v>Target Scenario</v>
      </c>
      <c r="D5" s="279" t="str">
        <f ca="1">'3. Costing Tool'!D2</f>
        <v>Intermediate Scenario 2</v>
      </c>
      <c r="E5" s="286" t="str">
        <f ca="1">'3. Costing Tool'!E2</f>
        <v>Intermediate Scenario 1</v>
      </c>
      <c r="F5" s="286" t="str">
        <f ca="1">'3. Costing Tool'!F2</f>
        <v>Current Scenario 
with ANC data</v>
      </c>
      <c r="G5" s="286" t="str">
        <f ca="1">'3. Costing Tool'!G2</f>
        <v>Current Scenario without ANC data</v>
      </c>
    </row>
    <row r="6" spans="2:7" ht="28.5">
      <c r="B6" s="25" t="str">
        <f ca="1">'3. Costing Tool'!B101</f>
        <v>Total costs of PMTCT</v>
      </c>
      <c r="C6" s="230">
        <f ca="1">'3. Costing Tool'!C101</f>
        <v>553506.12120178633</v>
      </c>
      <c r="D6" s="230">
        <f ca="1">'3. Costing Tool'!D101</f>
        <v>432629.19712665014</v>
      </c>
      <c r="E6" s="230">
        <f ca="1">'3. Costing Tool'!E101</f>
        <v>349483.96385292825</v>
      </c>
      <c r="F6" s="230">
        <f ca="1">'3. Costing Tool'!F101</f>
        <v>274937.50973842165</v>
      </c>
      <c r="G6" s="230">
        <f ca="1">'3. Costing Tool'!G101</f>
        <v>254864.78131589392</v>
      </c>
    </row>
    <row r="7" spans="2:7" ht="42.75">
      <c r="B7" s="25" t="str">
        <f ca="1">'3. Costing Tool'!B180</f>
        <v xml:space="preserve">Total costs of paediatric HIV treatment </v>
      </c>
      <c r="C7" s="230">
        <f ca="1">'3. Costing Tool'!C180</f>
        <v>201352.88384945996</v>
      </c>
      <c r="D7" s="230">
        <f ca="1">'3. Costing Tool'!D180</f>
        <v>403604.45000511088</v>
      </c>
      <c r="E7" s="230">
        <f ca="1">'3. Costing Tool'!E180</f>
        <v>592190.9504021944</v>
      </c>
      <c r="F7" s="230">
        <f ca="1">'3. Costing Tool'!F180</f>
        <v>757204.13824964245</v>
      </c>
      <c r="G7" s="230">
        <f ca="1">'3. Costing Tool'!G180</f>
        <v>869349.43931785109</v>
      </c>
    </row>
    <row r="16" spans="2:7">
      <c r="B16" s="412" t="s">
        <v>141</v>
      </c>
      <c r="C16" s="413"/>
      <c r="D16" s="414"/>
    </row>
    <row r="17" spans="2:7" ht="42.75">
      <c r="C17" s="279" t="str">
        <f ca="1">'3. Costing Tool'!C2</f>
        <v>Target Scenario</v>
      </c>
      <c r="D17" s="279" t="str">
        <f ca="1">'3. Costing Tool'!D2</f>
        <v>Intermediate Scenario 2</v>
      </c>
      <c r="E17" s="286" t="str">
        <f ca="1">'3. Costing Tool'!E2</f>
        <v>Intermediate Scenario 1</v>
      </c>
      <c r="F17" s="286" t="str">
        <f ca="1">'3. Costing Tool'!F2</f>
        <v>Current Scenario 
with ANC data</v>
      </c>
      <c r="G17" s="286" t="str">
        <f ca="1">'3. Costing Tool'!G2</f>
        <v>Current Scenario without ANC data</v>
      </c>
    </row>
    <row r="18" spans="2:7" ht="28.5">
      <c r="B18" s="25" t="s">
        <v>141</v>
      </c>
      <c r="C18" s="230">
        <f ca="1">'3. Costing Tool'!C189</f>
        <v>3669.1437501544669</v>
      </c>
      <c r="D18" s="230">
        <f ca="1">'3. Costing Tool'!D189</f>
        <v>3446.5279679627583</v>
      </c>
      <c r="E18" s="230">
        <f ca="1">'3. Costing Tool'!E189</f>
        <v>3431.1784120664056</v>
      </c>
      <c r="F18" s="230">
        <f ca="1">'3. Costing Tool'!F189</f>
        <v>3388.2877455355065</v>
      </c>
      <c r="G18" s="230">
        <f ca="1">'3. Costing Tool'!G189</f>
        <v>3806.67913304896</v>
      </c>
    </row>
    <row r="30" spans="2:7">
      <c r="B30" s="412" t="s">
        <v>144</v>
      </c>
      <c r="C30" s="413"/>
      <c r="D30" s="414"/>
    </row>
    <row r="31" spans="2:7" ht="42.75">
      <c r="C31" s="279" t="str">
        <f ca="1">'3. Costing Tool'!C2</f>
        <v>Target Scenario</v>
      </c>
      <c r="D31" s="279" t="str">
        <f ca="1">'3. Costing Tool'!D2</f>
        <v>Intermediate Scenario 2</v>
      </c>
      <c r="E31" s="286" t="str">
        <f ca="1">'3. Costing Tool'!E2</f>
        <v>Intermediate Scenario 1</v>
      </c>
      <c r="F31" s="286" t="str">
        <f ca="1">'3. Costing Tool'!F2</f>
        <v>Current Scenario 
with ANC data</v>
      </c>
      <c r="G31" s="286" t="str">
        <f ca="1">'3. Costing Tool'!G2</f>
        <v>Current Scenario without ANC data</v>
      </c>
    </row>
    <row r="32" spans="2:7" ht="30.75" customHeight="1">
      <c r="B32" s="25" t="s">
        <v>144</v>
      </c>
      <c r="C32" s="230">
        <f ca="1">'3. Costing Tool'!C191</f>
        <v>737633.01928379491</v>
      </c>
      <c r="D32" s="230">
        <f ca="1">'3. Costing Tool'!D191</f>
        <v>604399.27651868679</v>
      </c>
      <c r="E32" s="230">
        <f ca="1">'3. Costing Tool'!E191</f>
        <v>482203.63639073947</v>
      </c>
      <c r="F32" s="230">
        <f ca="1">'3. Costing Tool'!F191</f>
        <v>384055.34081983531</v>
      </c>
      <c r="G32" s="230">
        <f ca="1">'3. Costing Tool'!G191</f>
        <v>286937.01766769279</v>
      </c>
    </row>
    <row r="33" spans="2:7" s="189" customFormat="1">
      <c r="B33" s="189" t="s">
        <v>145</v>
      </c>
    </row>
    <row r="46" spans="2:7">
      <c r="B46" s="412" t="s">
        <v>146</v>
      </c>
      <c r="C46" s="413"/>
      <c r="D46" s="414"/>
    </row>
    <row r="47" spans="2:7" ht="42.75">
      <c r="C47" s="279" t="str">
        <f ca="1">'3. Costing Tool'!C2</f>
        <v>Target Scenario</v>
      </c>
      <c r="D47" s="279" t="str">
        <f ca="1">'3. Costing Tool'!D2</f>
        <v>Intermediate Scenario 2</v>
      </c>
      <c r="E47" s="286" t="str">
        <f ca="1">'3. Costing Tool'!E2</f>
        <v>Intermediate Scenario 1</v>
      </c>
      <c r="F47" s="286" t="str">
        <f ca="1">'3. Costing Tool'!F2</f>
        <v>Current Scenario 
with ANC data</v>
      </c>
      <c r="G47" s="286" t="str">
        <f ca="1">'3. Costing Tool'!G2</f>
        <v>Current Scenario without ANC data</v>
      </c>
    </row>
    <row r="48" spans="2:7" ht="57">
      <c r="B48" s="25" t="str">
        <f ca="1">'3. Costing Tool'!B197</f>
        <v>Cost per congenital syphilis case averted</v>
      </c>
      <c r="C48" s="230">
        <f ca="1">'3. Costing Tool'!C197</f>
        <v>209.9710144927536</v>
      </c>
      <c r="D48" s="230">
        <f ca="1">'3. Costing Tool'!D197</f>
        <v>221.64705882352939</v>
      </c>
      <c r="E48" s="230">
        <f ca="1">'3. Costing Tool'!E197</f>
        <v>250.43478260869566</v>
      </c>
      <c r="F48" s="230">
        <f ca="1">'3. Costing Tool'!F197</f>
        <v>288.08026755852842</v>
      </c>
      <c r="G48" s="230">
        <f ca="1">'3. Costing Tool'!G197</f>
        <v>221.02212051868801</v>
      </c>
    </row>
  </sheetData>
  <mergeCells count="5">
    <mergeCell ref="B46:D46"/>
    <mergeCell ref="B2:C2"/>
    <mergeCell ref="B4:D4"/>
    <mergeCell ref="B16:D16"/>
    <mergeCell ref="B30:D30"/>
  </mergeCells>
  <phoneticPr fontId="3"/>
  <pageMargins left="0.7" right="0.7" top="0.75" bottom="0.75" header="0.3" footer="0.3"/>
  <pageSetup paperSize="9" scale="54"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sheetPr>
    <tabColor theme="7" tint="0.59999389629810485"/>
    <pageSetUpPr fitToPage="1"/>
  </sheetPr>
  <dimension ref="A2:L37"/>
  <sheetViews>
    <sheetView showGridLines="0" zoomScale="90" zoomScaleNormal="100" workbookViewId="0">
      <selection activeCell="L38" sqref="L38"/>
    </sheetView>
  </sheetViews>
  <sheetFormatPr defaultColWidth="9" defaultRowHeight="14.25"/>
  <cols>
    <col min="1" max="1" width="0.85546875" style="1" customWidth="1"/>
    <col min="2" max="2" width="9.7109375" style="1" customWidth="1"/>
    <col min="3" max="3" width="15.85546875" style="22" customWidth="1"/>
    <col min="4" max="4" width="34.5703125" style="1" customWidth="1"/>
    <col min="5" max="5" width="56.5703125" style="1" customWidth="1"/>
    <col min="6" max="6" width="12.85546875" style="1" customWidth="1"/>
    <col min="7" max="7" width="10.7109375" style="1" customWidth="1"/>
    <col min="8" max="8" width="7" style="22" customWidth="1"/>
    <col min="9" max="9" width="8.42578125" style="1" customWidth="1"/>
    <col min="10" max="10" width="12.85546875" style="1" customWidth="1"/>
    <col min="11" max="11" width="11.42578125" style="1" customWidth="1"/>
    <col min="12" max="12" width="17.140625" style="1" customWidth="1"/>
    <col min="13" max="16384" width="9" style="1"/>
  </cols>
  <sheetData>
    <row r="2" spans="1:12" ht="33" customHeight="1">
      <c r="B2" s="416" t="s">
        <v>310</v>
      </c>
      <c r="C2" s="417"/>
      <c r="D2" s="92" t="s">
        <v>311</v>
      </c>
      <c r="I2" s="402" t="s">
        <v>216</v>
      </c>
      <c r="J2" s="402"/>
    </row>
    <row r="3" spans="1:12" ht="17.100000000000001" customHeight="1">
      <c r="B3" s="212"/>
      <c r="C3" s="212"/>
      <c r="D3" s="5" t="s">
        <v>193</v>
      </c>
      <c r="E3" s="188">
        <f ca="1">'3. Costing Tool'!C41</f>
        <v>0.26</v>
      </c>
      <c r="I3" s="190" t="s">
        <v>268</v>
      </c>
      <c r="J3" s="188">
        <f ca="1">'3. Costing Tool'!F41</f>
        <v>5</v>
      </c>
    </row>
    <row r="4" spans="1:12" ht="17.100000000000001" customHeight="1">
      <c r="B4" s="212"/>
      <c r="C4" s="212"/>
      <c r="D4" s="190" t="s">
        <v>360</v>
      </c>
      <c r="E4" s="188">
        <f ca="1">'3. Costing Tool'!C42</f>
        <v>0.01</v>
      </c>
      <c r="I4" s="190" t="s">
        <v>269</v>
      </c>
      <c r="J4" s="188">
        <f ca="1">'3. Costing Tool'!F42</f>
        <v>20</v>
      </c>
    </row>
    <row r="5" spans="1:12" ht="17.100000000000001" customHeight="1">
      <c r="B5" s="212"/>
      <c r="C5" s="212"/>
      <c r="D5" s="190" t="s">
        <v>195</v>
      </c>
      <c r="E5" s="188">
        <f ca="1">'3. Costing Tool'!C43</f>
        <v>0.11</v>
      </c>
    </row>
    <row r="6" spans="1:12" ht="17.100000000000001" customHeight="1">
      <c r="B6" s="212"/>
      <c r="C6" s="212"/>
      <c r="D6" s="190" t="s">
        <v>196</v>
      </c>
      <c r="E6" s="188">
        <f ca="1">'3. Costing Tool'!C44</f>
        <v>0.14000000000000001</v>
      </c>
    </row>
    <row r="7" spans="1:12" ht="17.100000000000001" customHeight="1">
      <c r="B7" s="212"/>
      <c r="C7" s="212"/>
      <c r="D7" s="190" t="s">
        <v>197</v>
      </c>
      <c r="E7" s="188">
        <f ca="1">'3. Costing Tool'!C45</f>
        <v>0.18</v>
      </c>
    </row>
    <row r="8" spans="1:12" ht="17.100000000000001" customHeight="1">
      <c r="B8" s="212"/>
      <c r="C8" s="212"/>
      <c r="D8" s="190" t="s">
        <v>198</v>
      </c>
      <c r="E8" s="188">
        <f ca="1">'3. Costing Tool'!C46</f>
        <v>0.14000000000000001</v>
      </c>
    </row>
    <row r="9" spans="1:12" ht="17.100000000000001" customHeight="1">
      <c r="B9" s="212"/>
      <c r="C9" s="212"/>
      <c r="D9" s="190" t="s">
        <v>199</v>
      </c>
      <c r="E9" s="188">
        <f ca="1">'3. Costing Tool'!C47</f>
        <v>0.28999999999999998</v>
      </c>
    </row>
    <row r="10" spans="1:12" ht="17.100000000000001" customHeight="1">
      <c r="B10" s="212"/>
      <c r="C10" s="212"/>
      <c r="D10" s="190" t="s">
        <v>458</v>
      </c>
      <c r="E10" s="188">
        <f ca="1">'3. Costing Tool'!C48</f>
        <v>0.01</v>
      </c>
    </row>
    <row r="11" spans="1:12" ht="17.100000000000001" customHeight="1">
      <c r="B11" s="212"/>
      <c r="C11" s="212"/>
      <c r="D11" s="190" t="s">
        <v>201</v>
      </c>
      <c r="E11" s="188">
        <f ca="1">'3. Costing Tool'!C49</f>
        <v>0.57999999999999996</v>
      </c>
    </row>
    <row r="12" spans="1:12" ht="17.100000000000001" customHeight="1">
      <c r="B12" s="212"/>
      <c r="C12" s="212"/>
      <c r="D12" s="190" t="s">
        <v>202</v>
      </c>
      <c r="E12" s="188">
        <f ca="1">'3. Costing Tool'!C50</f>
        <v>0.66</v>
      </c>
    </row>
    <row r="13" spans="1:12" ht="27" customHeight="1">
      <c r="B13" s="212"/>
      <c r="C13" s="212"/>
      <c r="D13" s="213"/>
    </row>
    <row r="14" spans="1:12" ht="42.75">
      <c r="D14" s="419" t="s">
        <v>369</v>
      </c>
      <c r="E14" s="420"/>
      <c r="F14" s="288" t="s">
        <v>319</v>
      </c>
      <c r="G14" s="289" t="s">
        <v>312</v>
      </c>
      <c r="H14" s="290" t="s">
        <v>313</v>
      </c>
      <c r="I14" s="288" t="s">
        <v>314</v>
      </c>
      <c r="J14" s="290" t="s">
        <v>315</v>
      </c>
      <c r="K14" s="288" t="s">
        <v>316</v>
      </c>
      <c r="L14" s="290" t="s">
        <v>317</v>
      </c>
    </row>
    <row r="15" spans="1:12">
      <c r="A15" s="214"/>
      <c r="B15" s="422" t="s">
        <v>320</v>
      </c>
      <c r="C15" s="428" t="s">
        <v>321</v>
      </c>
      <c r="D15" s="25" t="s">
        <v>210</v>
      </c>
      <c r="E15" s="13" t="s">
        <v>323</v>
      </c>
      <c r="F15" s="11">
        <f>2*7*25</f>
        <v>350</v>
      </c>
      <c r="G15" s="11">
        <f>F15*(100+$J$3)/100</f>
        <v>367.5</v>
      </c>
      <c r="H15" s="10" t="s">
        <v>318</v>
      </c>
      <c r="I15" s="215">
        <f ca="1">'3. Costing Tool'!C45</f>
        <v>0.18</v>
      </c>
      <c r="J15" s="24">
        <f>I15*G15</f>
        <v>66.149999999999991</v>
      </c>
      <c r="K15" s="24">
        <f>I15*G15</f>
        <v>66.149999999999991</v>
      </c>
      <c r="L15" s="11"/>
    </row>
    <row r="16" spans="1:12" ht="14.25" customHeight="1">
      <c r="A16" s="214"/>
      <c r="B16" s="423"/>
      <c r="C16" s="429"/>
      <c r="D16" s="418" t="s">
        <v>211</v>
      </c>
      <c r="E16" s="13" t="s">
        <v>324</v>
      </c>
      <c r="F16" s="11">
        <f>2*7*25</f>
        <v>350</v>
      </c>
      <c r="G16" s="11">
        <f>F16*(100+$J$3)/100</f>
        <v>367.5</v>
      </c>
      <c r="H16" s="10" t="s">
        <v>318</v>
      </c>
      <c r="I16" s="11">
        <f ca="1">'3. Costing Tool'!$C$44</f>
        <v>0.14000000000000001</v>
      </c>
      <c r="J16" s="24">
        <f>I16*G16</f>
        <v>51.45</v>
      </c>
      <c r="K16" s="24">
        <f>I16*G16</f>
        <v>51.45</v>
      </c>
      <c r="L16" s="11"/>
    </row>
    <row r="17" spans="1:12" ht="14.25" customHeight="1">
      <c r="A17" s="214"/>
      <c r="B17" s="423"/>
      <c r="C17" s="430"/>
      <c r="D17" s="418"/>
      <c r="E17" s="11" t="s">
        <v>325</v>
      </c>
      <c r="F17" s="11">
        <f>2*2*7*25</f>
        <v>700</v>
      </c>
      <c r="G17" s="11">
        <f>F17*(100+$J$3)/100</f>
        <v>735</v>
      </c>
      <c r="H17" s="10" t="s">
        <v>318</v>
      </c>
      <c r="I17" s="11">
        <f ca="1">'3. Costing Tool'!$C$47</f>
        <v>0.28999999999999998</v>
      </c>
      <c r="J17" s="24">
        <f>I17*G17</f>
        <v>213.14999999999998</v>
      </c>
      <c r="K17" s="24">
        <f>I17*G17</f>
        <v>213.14999999999998</v>
      </c>
      <c r="L17" s="11"/>
    </row>
    <row r="18" spans="1:12" ht="36" customHeight="1">
      <c r="A18" s="68"/>
      <c r="B18" s="423"/>
      <c r="C18" s="216" t="s">
        <v>322</v>
      </c>
      <c r="D18" s="431" t="s">
        <v>327</v>
      </c>
      <c r="E18" s="432"/>
      <c r="F18" s="11">
        <f>15*42/10</f>
        <v>63</v>
      </c>
      <c r="G18" s="11">
        <f>F18*(100+$J$4)/100</f>
        <v>75.599999999999994</v>
      </c>
      <c r="H18" s="10" t="s">
        <v>459</v>
      </c>
      <c r="I18" s="11">
        <f ca="1">'3. Costing Tool'!C48</f>
        <v>0.01</v>
      </c>
      <c r="J18" s="11">
        <f>I18*100</f>
        <v>1</v>
      </c>
      <c r="K18" s="11">
        <f>I18*100</f>
        <v>1</v>
      </c>
      <c r="L18" s="13" t="s">
        <v>339</v>
      </c>
    </row>
    <row r="19" spans="1:12" ht="28.5" customHeight="1">
      <c r="B19" s="424"/>
      <c r="C19" s="216" t="s">
        <v>322</v>
      </c>
      <c r="D19" s="431" t="s">
        <v>326</v>
      </c>
      <c r="E19" s="432"/>
      <c r="F19" s="11">
        <f>15*2*42/10</f>
        <v>126</v>
      </c>
      <c r="G19" s="11">
        <f>F19*(100+$J$4)/100</f>
        <v>151.19999999999999</v>
      </c>
      <c r="H19" s="10" t="s">
        <v>459</v>
      </c>
      <c r="I19" s="11">
        <f ca="1">'3. Costing Tool'!C42</f>
        <v>0.01</v>
      </c>
      <c r="J19" s="11">
        <f>I19*200</f>
        <v>2</v>
      </c>
      <c r="K19" s="11">
        <f>I19*200</f>
        <v>2</v>
      </c>
      <c r="L19" s="13" t="s">
        <v>340</v>
      </c>
    </row>
    <row r="20" spans="1:12" ht="14.25" customHeight="1">
      <c r="B20" s="425" t="s">
        <v>328</v>
      </c>
      <c r="C20" s="409" t="s">
        <v>329</v>
      </c>
      <c r="D20" s="418" t="s">
        <v>211</v>
      </c>
      <c r="E20" s="13" t="s">
        <v>324</v>
      </c>
      <c r="F20" s="11">
        <f>2*7*80</f>
        <v>1120</v>
      </c>
      <c r="G20" s="11">
        <f t="shared" ref="G20:G35" si="0">F20*(100+$J$3)/100</f>
        <v>1176</v>
      </c>
      <c r="H20" s="10" t="s">
        <v>318</v>
      </c>
      <c r="I20" s="11">
        <f ca="1">'3. Costing Tool'!C44</f>
        <v>0.14000000000000001</v>
      </c>
      <c r="J20" s="11">
        <f t="shared" ref="J20:J35" si="1">I20*G20</f>
        <v>164.64000000000001</v>
      </c>
      <c r="K20" s="217">
        <f t="shared" ref="K20:K27" si="2">I20*G20*52/80+I20*G20*28/80/1.03</f>
        <v>162.96163106796118</v>
      </c>
      <c r="L20" s="11"/>
    </row>
    <row r="21" spans="1:12">
      <c r="B21" s="426"/>
      <c r="C21" s="409"/>
      <c r="D21" s="418"/>
      <c r="E21" s="11" t="s">
        <v>331</v>
      </c>
      <c r="F21" s="11">
        <f>2*2*7*80</f>
        <v>2240</v>
      </c>
      <c r="G21" s="11">
        <f t="shared" si="0"/>
        <v>2352</v>
      </c>
      <c r="H21" s="10" t="s">
        <v>318</v>
      </c>
      <c r="I21" s="11">
        <f ca="1">'3. Costing Tool'!C47</f>
        <v>0.28999999999999998</v>
      </c>
      <c r="J21" s="11">
        <f t="shared" si="1"/>
        <v>682.07999999999993</v>
      </c>
      <c r="K21" s="217">
        <f t="shared" si="2"/>
        <v>675.12675728155341</v>
      </c>
      <c r="L21" s="11"/>
    </row>
    <row r="22" spans="1:12">
      <c r="B22" s="426"/>
      <c r="C22" s="409"/>
      <c r="D22" s="418" t="s">
        <v>212</v>
      </c>
      <c r="E22" s="13" t="s">
        <v>324</v>
      </c>
      <c r="F22" s="11">
        <f>2*7*80</f>
        <v>1120</v>
      </c>
      <c r="G22" s="11">
        <f t="shared" si="0"/>
        <v>1176</v>
      </c>
      <c r="H22" s="10" t="s">
        <v>318</v>
      </c>
      <c r="I22" s="11">
        <f ca="1">'3. Costing Tool'!C44</f>
        <v>0.14000000000000001</v>
      </c>
      <c r="J22" s="11">
        <f t="shared" si="1"/>
        <v>164.64000000000001</v>
      </c>
      <c r="K22" s="217">
        <f t="shared" si="2"/>
        <v>162.96163106796118</v>
      </c>
      <c r="L22" s="11"/>
    </row>
    <row r="23" spans="1:12">
      <c r="B23" s="426"/>
      <c r="C23" s="409"/>
      <c r="D23" s="418"/>
      <c r="E23" s="11" t="s">
        <v>332</v>
      </c>
      <c r="F23" s="11">
        <f>2*7*80</f>
        <v>1120</v>
      </c>
      <c r="G23" s="11">
        <f t="shared" si="0"/>
        <v>1176</v>
      </c>
      <c r="H23" s="10" t="s">
        <v>318</v>
      </c>
      <c r="I23" s="11">
        <f ca="1">'3. Costing Tool'!C41</f>
        <v>0.26</v>
      </c>
      <c r="J23" s="11">
        <f t="shared" si="1"/>
        <v>305.76</v>
      </c>
      <c r="K23" s="217">
        <f t="shared" si="2"/>
        <v>302.64302912621361</v>
      </c>
      <c r="L23" s="11"/>
    </row>
    <row r="24" spans="1:12">
      <c r="B24" s="426"/>
      <c r="C24" s="409"/>
      <c r="D24" s="418" t="s">
        <v>213</v>
      </c>
      <c r="E24" s="13" t="s">
        <v>324</v>
      </c>
      <c r="F24" s="11">
        <f>2*7*80</f>
        <v>1120</v>
      </c>
      <c r="G24" s="11">
        <f t="shared" si="0"/>
        <v>1176</v>
      </c>
      <c r="H24" s="10" t="s">
        <v>318</v>
      </c>
      <c r="I24" s="11">
        <f ca="1">'3. Costing Tool'!C44</f>
        <v>0.14000000000000001</v>
      </c>
      <c r="J24" s="11">
        <f t="shared" si="1"/>
        <v>164.64000000000001</v>
      </c>
      <c r="K24" s="217">
        <f t="shared" si="2"/>
        <v>162.96163106796118</v>
      </c>
      <c r="L24" s="11"/>
    </row>
    <row r="25" spans="1:12">
      <c r="B25" s="426"/>
      <c r="C25" s="409"/>
      <c r="D25" s="418"/>
      <c r="E25" s="12" t="s">
        <v>333</v>
      </c>
      <c r="F25" s="11">
        <f>7*80</f>
        <v>560</v>
      </c>
      <c r="G25" s="11">
        <f t="shared" si="0"/>
        <v>588</v>
      </c>
      <c r="H25" s="10" t="s">
        <v>318</v>
      </c>
      <c r="I25" s="11">
        <f ca="1">'3. Costing Tool'!C46</f>
        <v>0.14000000000000001</v>
      </c>
      <c r="J25" s="11">
        <f t="shared" si="1"/>
        <v>82.320000000000007</v>
      </c>
      <c r="K25" s="217">
        <f t="shared" si="2"/>
        <v>81.480815533980589</v>
      </c>
      <c r="L25" s="11"/>
    </row>
    <row r="26" spans="1:12">
      <c r="B26" s="426"/>
      <c r="C26" s="409"/>
      <c r="D26" s="25" t="s">
        <v>214</v>
      </c>
      <c r="E26" s="12" t="s">
        <v>334</v>
      </c>
      <c r="F26" s="11">
        <f>7*80</f>
        <v>560</v>
      </c>
      <c r="G26" s="11">
        <f t="shared" si="0"/>
        <v>588</v>
      </c>
      <c r="H26" s="10" t="s">
        <v>318</v>
      </c>
      <c r="I26" s="11">
        <f ca="1">'3. Costing Tool'!C49</f>
        <v>0.57999999999999996</v>
      </c>
      <c r="J26" s="11">
        <f t="shared" si="1"/>
        <v>341.03999999999996</v>
      </c>
      <c r="K26" s="217">
        <f t="shared" si="2"/>
        <v>337.5633786407767</v>
      </c>
      <c r="L26" s="11"/>
    </row>
    <row r="27" spans="1:12">
      <c r="B27" s="426"/>
      <c r="C27" s="409"/>
      <c r="D27" s="25" t="s">
        <v>215</v>
      </c>
      <c r="E27" s="12" t="s">
        <v>335</v>
      </c>
      <c r="F27" s="11">
        <f>7*80</f>
        <v>560</v>
      </c>
      <c r="G27" s="11">
        <f t="shared" si="0"/>
        <v>588</v>
      </c>
      <c r="H27" s="10" t="s">
        <v>318</v>
      </c>
      <c r="I27" s="11">
        <f ca="1">'3. Costing Tool'!C50</f>
        <v>0.66</v>
      </c>
      <c r="J27" s="11">
        <f t="shared" si="1"/>
        <v>388.08000000000004</v>
      </c>
      <c r="K27" s="217">
        <f t="shared" si="2"/>
        <v>384.12384466019421</v>
      </c>
      <c r="L27" s="11"/>
    </row>
    <row r="28" spans="1:12">
      <c r="B28" s="426"/>
      <c r="C28" s="409" t="s">
        <v>330</v>
      </c>
      <c r="D28" s="418" t="s">
        <v>211</v>
      </c>
      <c r="E28" s="13" t="s">
        <v>324</v>
      </c>
      <c r="F28" s="11">
        <f>2*7*25</f>
        <v>350</v>
      </c>
      <c r="G28" s="11">
        <f t="shared" si="0"/>
        <v>367.5</v>
      </c>
      <c r="H28" s="10" t="s">
        <v>318</v>
      </c>
      <c r="I28" s="11">
        <f ca="1">'3. Costing Tool'!$C$44</f>
        <v>0.14000000000000001</v>
      </c>
      <c r="J28" s="24">
        <f t="shared" si="1"/>
        <v>51.45</v>
      </c>
      <c r="K28" s="24">
        <f t="shared" ref="K28:K35" si="3">I28*G28</f>
        <v>51.45</v>
      </c>
      <c r="L28" s="11"/>
    </row>
    <row r="29" spans="1:12">
      <c r="B29" s="426"/>
      <c r="C29" s="409"/>
      <c r="D29" s="418"/>
      <c r="E29" s="11" t="s">
        <v>336</v>
      </c>
      <c r="F29" s="11">
        <f>2*2*7*25</f>
        <v>700</v>
      </c>
      <c r="G29" s="11">
        <f t="shared" si="0"/>
        <v>735</v>
      </c>
      <c r="H29" s="10" t="s">
        <v>318</v>
      </c>
      <c r="I29" s="11">
        <f ca="1">'3. Costing Tool'!$C$47</f>
        <v>0.28999999999999998</v>
      </c>
      <c r="J29" s="24">
        <f t="shared" si="1"/>
        <v>213.14999999999998</v>
      </c>
      <c r="K29" s="24">
        <f t="shared" si="3"/>
        <v>213.14999999999998</v>
      </c>
      <c r="L29" s="11"/>
    </row>
    <row r="30" spans="1:12">
      <c r="B30" s="426"/>
      <c r="C30" s="409"/>
      <c r="D30" s="418" t="s">
        <v>212</v>
      </c>
      <c r="E30" s="13" t="s">
        <v>324</v>
      </c>
      <c r="F30" s="11">
        <f>2*7*25</f>
        <v>350</v>
      </c>
      <c r="G30" s="11">
        <f t="shared" si="0"/>
        <v>367.5</v>
      </c>
      <c r="H30" s="10" t="s">
        <v>318</v>
      </c>
      <c r="I30" s="11">
        <f ca="1">'3. Costing Tool'!C44</f>
        <v>0.14000000000000001</v>
      </c>
      <c r="J30" s="24">
        <f t="shared" si="1"/>
        <v>51.45</v>
      </c>
      <c r="K30" s="24">
        <f t="shared" si="3"/>
        <v>51.45</v>
      </c>
      <c r="L30" s="11"/>
    </row>
    <row r="31" spans="1:12">
      <c r="B31" s="426"/>
      <c r="C31" s="409"/>
      <c r="D31" s="418"/>
      <c r="E31" s="11" t="s">
        <v>332</v>
      </c>
      <c r="F31" s="11">
        <f>2*7*25</f>
        <v>350</v>
      </c>
      <c r="G31" s="11">
        <f t="shared" si="0"/>
        <v>367.5</v>
      </c>
      <c r="H31" s="10" t="s">
        <v>318</v>
      </c>
      <c r="I31" s="11">
        <f ca="1">'3. Costing Tool'!C41</f>
        <v>0.26</v>
      </c>
      <c r="J31" s="24">
        <f t="shared" si="1"/>
        <v>95.55</v>
      </c>
      <c r="K31" s="24">
        <f t="shared" si="3"/>
        <v>95.55</v>
      </c>
      <c r="L31" s="11"/>
    </row>
    <row r="32" spans="1:12">
      <c r="B32" s="426"/>
      <c r="C32" s="409"/>
      <c r="D32" s="418" t="s">
        <v>213</v>
      </c>
      <c r="E32" s="13" t="s">
        <v>324</v>
      </c>
      <c r="F32" s="11">
        <f>2*7*25</f>
        <v>350</v>
      </c>
      <c r="G32" s="11">
        <f t="shared" si="0"/>
        <v>367.5</v>
      </c>
      <c r="H32" s="10" t="s">
        <v>318</v>
      </c>
      <c r="I32" s="11">
        <f ca="1">'3. Costing Tool'!C44</f>
        <v>0.14000000000000001</v>
      </c>
      <c r="J32" s="24">
        <f t="shared" si="1"/>
        <v>51.45</v>
      </c>
      <c r="K32" s="24">
        <f t="shared" si="3"/>
        <v>51.45</v>
      </c>
      <c r="L32" s="11"/>
    </row>
    <row r="33" spans="2:12">
      <c r="B33" s="426"/>
      <c r="C33" s="409"/>
      <c r="D33" s="418"/>
      <c r="E33" s="12" t="s">
        <v>333</v>
      </c>
      <c r="F33" s="11">
        <f>1*7*25</f>
        <v>175</v>
      </c>
      <c r="G33" s="11">
        <f t="shared" si="0"/>
        <v>183.75</v>
      </c>
      <c r="H33" s="10" t="s">
        <v>318</v>
      </c>
      <c r="I33" s="11">
        <f ca="1">'3. Costing Tool'!C46</f>
        <v>0.14000000000000001</v>
      </c>
      <c r="J33" s="24">
        <f t="shared" si="1"/>
        <v>25.725000000000001</v>
      </c>
      <c r="K33" s="24">
        <f t="shared" si="3"/>
        <v>25.725000000000001</v>
      </c>
      <c r="L33" s="11"/>
    </row>
    <row r="34" spans="2:12">
      <c r="B34" s="426"/>
      <c r="C34" s="409"/>
      <c r="D34" s="25" t="s">
        <v>214</v>
      </c>
      <c r="E34" s="12" t="s">
        <v>334</v>
      </c>
      <c r="F34" s="11">
        <f>1*7*25</f>
        <v>175</v>
      </c>
      <c r="G34" s="11">
        <f t="shared" si="0"/>
        <v>183.75</v>
      </c>
      <c r="H34" s="10" t="s">
        <v>318</v>
      </c>
      <c r="I34" s="11">
        <f ca="1">'3. Costing Tool'!C49</f>
        <v>0.57999999999999996</v>
      </c>
      <c r="J34" s="24">
        <f t="shared" si="1"/>
        <v>106.57499999999999</v>
      </c>
      <c r="K34" s="24">
        <f t="shared" si="3"/>
        <v>106.57499999999999</v>
      </c>
      <c r="L34" s="11"/>
    </row>
    <row r="35" spans="2:12">
      <c r="B35" s="426"/>
      <c r="C35" s="409"/>
      <c r="D35" s="25" t="s">
        <v>215</v>
      </c>
      <c r="E35" s="12" t="s">
        <v>335</v>
      </c>
      <c r="F35" s="11">
        <f>1*7*25</f>
        <v>175</v>
      </c>
      <c r="G35" s="11">
        <f t="shared" si="0"/>
        <v>183.75</v>
      </c>
      <c r="H35" s="10" t="s">
        <v>318</v>
      </c>
      <c r="I35" s="11">
        <f ca="1">'3. Costing Tool'!C50</f>
        <v>0.66</v>
      </c>
      <c r="J35" s="24">
        <f t="shared" si="1"/>
        <v>121.27500000000001</v>
      </c>
      <c r="K35" s="24">
        <f t="shared" si="3"/>
        <v>121.27500000000001</v>
      </c>
      <c r="L35" s="11"/>
    </row>
    <row r="36" spans="2:12">
      <c r="B36" s="426"/>
      <c r="C36" s="191" t="s">
        <v>322</v>
      </c>
      <c r="D36" s="421" t="s">
        <v>337</v>
      </c>
      <c r="E36" s="421"/>
      <c r="F36" s="11">
        <f>15*42/10</f>
        <v>63</v>
      </c>
      <c r="G36" s="11">
        <f>F36*(100+$J$4)/100</f>
        <v>75.599999999999994</v>
      </c>
      <c r="H36" s="10" t="s">
        <v>459</v>
      </c>
      <c r="I36" s="11">
        <f ca="1">'3. Costing Tool'!C48</f>
        <v>0.01</v>
      </c>
      <c r="J36" s="11">
        <f>I36*100</f>
        <v>1</v>
      </c>
      <c r="K36" s="11">
        <f>I36*100</f>
        <v>1</v>
      </c>
      <c r="L36" s="13" t="s">
        <v>339</v>
      </c>
    </row>
    <row r="37" spans="2:12" ht="24.75" customHeight="1">
      <c r="B37" s="427"/>
      <c r="C37" s="191" t="s">
        <v>322</v>
      </c>
      <c r="D37" s="421" t="s">
        <v>338</v>
      </c>
      <c r="E37" s="421"/>
      <c r="F37" s="11">
        <f>15*2*42/10</f>
        <v>126</v>
      </c>
      <c r="G37" s="11">
        <f>F37*(100+$J$4)/100</f>
        <v>151.19999999999999</v>
      </c>
      <c r="H37" s="10" t="s">
        <v>459</v>
      </c>
      <c r="I37" s="11">
        <f ca="1">'3. Costing Tool'!C42</f>
        <v>0.01</v>
      </c>
      <c r="J37" s="11">
        <f>I37*200</f>
        <v>2</v>
      </c>
      <c r="K37" s="11">
        <f>I37*200</f>
        <v>2</v>
      </c>
      <c r="L37" s="13" t="s">
        <v>340</v>
      </c>
    </row>
  </sheetData>
  <mergeCells count="19">
    <mergeCell ref="D37:E37"/>
    <mergeCell ref="B15:B19"/>
    <mergeCell ref="B20:B37"/>
    <mergeCell ref="C15:C17"/>
    <mergeCell ref="D16:D17"/>
    <mergeCell ref="D24:D25"/>
    <mergeCell ref="D18:E18"/>
    <mergeCell ref="D19:E19"/>
    <mergeCell ref="D36:E36"/>
    <mergeCell ref="I2:J2"/>
    <mergeCell ref="B2:C2"/>
    <mergeCell ref="C20:C27"/>
    <mergeCell ref="C28:C35"/>
    <mergeCell ref="D28:D29"/>
    <mergeCell ref="D30:D31"/>
    <mergeCell ref="D32:D33"/>
    <mergeCell ref="D14:E14"/>
    <mergeCell ref="D20:D21"/>
    <mergeCell ref="D22:D23"/>
  </mergeCells>
  <phoneticPr fontId="5"/>
  <pageMargins left="0.7" right="0.7" top="0.75" bottom="0.75" header="0.3" footer="0.3"/>
  <pageSetup paperSize="9" scale="66" orientation="landscape" horizontalDpi="4294967293" verticalDpi="4294967293" r:id="rId1"/>
  <ignoredErrors>
    <ignoredError sqref="F21 I21 I23 I31" formula="1"/>
  </ignoredErrors>
</worksheet>
</file>

<file path=xl/worksheets/sheet7.xml><?xml version="1.0" encoding="utf-8"?>
<worksheet xmlns="http://schemas.openxmlformats.org/spreadsheetml/2006/main" xmlns:r="http://schemas.openxmlformats.org/officeDocument/2006/relationships">
  <sheetPr>
    <tabColor indexed="13"/>
  </sheetPr>
  <dimension ref="B2:H18"/>
  <sheetViews>
    <sheetView showGridLines="0" zoomScaleNormal="100" workbookViewId="0">
      <selection activeCell="C16" sqref="C16"/>
    </sheetView>
  </sheetViews>
  <sheetFormatPr defaultRowHeight="14.25"/>
  <cols>
    <col min="1" max="1" width="4.140625" style="1" customWidth="1"/>
    <col min="2" max="2" width="24.7109375" style="1" customWidth="1"/>
    <col min="3" max="3" width="41.7109375" style="1" customWidth="1"/>
    <col min="4" max="4" width="12" style="1" customWidth="1"/>
    <col min="5" max="6" width="16.42578125" style="1" customWidth="1"/>
    <col min="7" max="7" width="18" style="1" customWidth="1"/>
    <col min="8" max="8" width="11.7109375" style="1" customWidth="1"/>
    <col min="9" max="16384" width="9.140625" style="1"/>
  </cols>
  <sheetData>
    <row r="2" spans="2:8" ht="37.5" customHeight="1">
      <c r="B2" s="110" t="s">
        <v>341</v>
      </c>
    </row>
    <row r="3" spans="2:8" ht="21.75" customHeight="1">
      <c r="B3" s="4"/>
      <c r="C3" s="5" t="str">
        <f ca="1">'3. Costing Tool'!B75</f>
        <v xml:space="preserve">Weight of formula per tin </v>
      </c>
      <c r="D3" s="6">
        <f ca="1">'3. Costing Tool'!C75</f>
        <v>900</v>
      </c>
    </row>
    <row r="4" spans="2:8" ht="15" customHeight="1">
      <c r="B4" s="4"/>
      <c r="C4" s="5" t="str">
        <f ca="1">'3. Costing Tool'!B76</f>
        <v>Unit cost per tin (in USD)</v>
      </c>
      <c r="D4" s="6">
        <f ca="1">'3. Costing Tool'!C76</f>
        <v>15</v>
      </c>
    </row>
    <row r="5" spans="2:8" ht="30" customHeight="1">
      <c r="B5" s="4"/>
      <c r="C5" s="5" t="str">
        <f ca="1">'3. Costing Tool'!B77</f>
        <v>Volume of formula per 50ml of water (g)</v>
      </c>
      <c r="D5" s="7">
        <f ca="1">'3. Costing Tool'!C77</f>
        <v>7.9</v>
      </c>
    </row>
    <row r="6" spans="2:8" ht="26.25" customHeight="1">
      <c r="B6" s="4"/>
    </row>
    <row r="7" spans="2:8" ht="42.75">
      <c r="C7" s="290" t="s">
        <v>342</v>
      </c>
      <c r="D7" s="288" t="s">
        <v>343</v>
      </c>
      <c r="E7" s="288" t="s">
        <v>344</v>
      </c>
      <c r="F7" s="288" t="str">
        <f ca="1">'3. Costing Tool'!B75</f>
        <v xml:space="preserve">Weight of formula per tin </v>
      </c>
      <c r="G7" s="288" t="str">
        <f ca="1">C4</f>
        <v>Unit cost per tin (in USD)</v>
      </c>
      <c r="H7" s="288" t="s">
        <v>345</v>
      </c>
    </row>
    <row r="8" spans="2:8">
      <c r="B8" s="8" t="s">
        <v>346</v>
      </c>
      <c r="C8" s="9" t="s">
        <v>354</v>
      </c>
      <c r="D8" s="231">
        <f>D5*1*7*7</f>
        <v>387.1</v>
      </c>
      <c r="E8" s="231">
        <f>D8</f>
        <v>387.1</v>
      </c>
      <c r="F8" s="434">
        <f ca="1">'3. Costing Tool'!C75</f>
        <v>900</v>
      </c>
      <c r="G8" s="434">
        <f ca="1">'3. Costing Tool'!C76</f>
        <v>15</v>
      </c>
      <c r="H8" s="11"/>
    </row>
    <row r="9" spans="2:8">
      <c r="B9" s="8" t="s">
        <v>347</v>
      </c>
      <c r="C9" s="13" t="s">
        <v>355</v>
      </c>
      <c r="D9" s="231">
        <f>D5*2*6*7</f>
        <v>663.60000000000014</v>
      </c>
      <c r="E9" s="231">
        <f t="shared" ref="E9:E15" si="0">E8+D9</f>
        <v>1050.7000000000003</v>
      </c>
      <c r="F9" s="434"/>
      <c r="G9" s="434"/>
      <c r="H9" s="11"/>
    </row>
    <row r="10" spans="2:8">
      <c r="B10" s="8" t="s">
        <v>348</v>
      </c>
      <c r="C10" s="13" t="s">
        <v>356</v>
      </c>
      <c r="D10" s="231">
        <f>D5*2*6*14</f>
        <v>1327.2000000000003</v>
      </c>
      <c r="E10" s="231">
        <f t="shared" si="0"/>
        <v>2377.9000000000005</v>
      </c>
      <c r="F10" s="434"/>
      <c r="G10" s="434"/>
      <c r="H10" s="11"/>
    </row>
    <row r="11" spans="2:8">
      <c r="B11" s="8" t="s">
        <v>349</v>
      </c>
      <c r="C11" s="13" t="s">
        <v>357</v>
      </c>
      <c r="D11" s="231">
        <f>D5*3*5*30</f>
        <v>3555.0000000000005</v>
      </c>
      <c r="E11" s="231">
        <f t="shared" si="0"/>
        <v>5932.9000000000015</v>
      </c>
      <c r="F11" s="434"/>
      <c r="G11" s="434"/>
      <c r="H11" s="11"/>
    </row>
    <row r="12" spans="2:8">
      <c r="B12" s="8" t="s">
        <v>350</v>
      </c>
      <c r="C12" s="13" t="s">
        <v>358</v>
      </c>
      <c r="D12" s="231">
        <f>D5*4*5*60</f>
        <v>9480</v>
      </c>
      <c r="E12" s="231">
        <f t="shared" si="0"/>
        <v>15412.900000000001</v>
      </c>
      <c r="F12" s="434"/>
      <c r="G12" s="434"/>
      <c r="H12" s="11"/>
    </row>
    <row r="13" spans="2:8">
      <c r="B13" s="14" t="s">
        <v>351</v>
      </c>
      <c r="C13" s="13" t="s">
        <v>358</v>
      </c>
      <c r="D13" s="231">
        <f>D5*4*5*60</f>
        <v>9480</v>
      </c>
      <c r="E13" s="231">
        <f t="shared" si="0"/>
        <v>24892.9</v>
      </c>
      <c r="F13" s="434"/>
      <c r="G13" s="434"/>
      <c r="H13" s="15">
        <f>E13/F8*G8</f>
        <v>414.88166666666666</v>
      </c>
    </row>
    <row r="14" spans="2:8">
      <c r="B14" s="16" t="s">
        <v>352</v>
      </c>
      <c r="C14" s="13" t="s">
        <v>359</v>
      </c>
      <c r="D14" s="231">
        <f>D5*4*3*180</f>
        <v>17064.000000000004</v>
      </c>
      <c r="E14" s="231">
        <f t="shared" si="0"/>
        <v>41956.900000000009</v>
      </c>
      <c r="F14" s="434"/>
      <c r="G14" s="434"/>
      <c r="H14" s="17">
        <f>E14/F8*G8*0.5+E14/F8*G8*0.5/1.03</f>
        <v>689.09795307443369</v>
      </c>
    </row>
    <row r="15" spans="2:8">
      <c r="B15" s="18" t="s">
        <v>353</v>
      </c>
      <c r="C15" s="13" t="s">
        <v>359</v>
      </c>
      <c r="D15" s="231">
        <f>D5*4*3*180</f>
        <v>17064.000000000004</v>
      </c>
      <c r="E15" s="231">
        <f t="shared" si="0"/>
        <v>59020.900000000009</v>
      </c>
      <c r="F15" s="434"/>
      <c r="G15" s="434"/>
      <c r="H15" s="19">
        <f>E15/F8*G8*1/3+E15/F8*G8*2/3/1.03</f>
        <v>964.58105177993548</v>
      </c>
    </row>
    <row r="17" spans="2:4">
      <c r="B17" s="20"/>
      <c r="C17" s="20"/>
    </row>
    <row r="18" spans="2:4">
      <c r="B18" s="433"/>
      <c r="C18" s="433"/>
      <c r="D18" s="433"/>
    </row>
  </sheetData>
  <mergeCells count="3">
    <mergeCell ref="B18:D18"/>
    <mergeCell ref="F8:F15"/>
    <mergeCell ref="G8:G15"/>
  </mergeCells>
  <phoneticPr fontId="5"/>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sheetPr>
    <tabColor indexed="52"/>
    <pageSetUpPr fitToPage="1"/>
  </sheetPr>
  <dimension ref="B2:W62"/>
  <sheetViews>
    <sheetView showGridLines="0" topLeftCell="B40" zoomScaleNormal="90" workbookViewId="0">
      <selection activeCell="F32" sqref="F32"/>
    </sheetView>
  </sheetViews>
  <sheetFormatPr defaultRowHeight="14.25"/>
  <cols>
    <col min="1" max="1" width="2.140625" style="232" customWidth="1"/>
    <col min="2" max="2" width="15.42578125" style="232" customWidth="1"/>
    <col min="3" max="3" width="16.42578125" style="232" customWidth="1"/>
    <col min="4" max="4" width="28.140625" style="232" customWidth="1"/>
    <col min="5" max="23" width="17.5703125" style="232" customWidth="1"/>
    <col min="24" max="16384" width="9.140625" style="232"/>
  </cols>
  <sheetData>
    <row r="2" spans="2:23" ht="13.5" customHeight="1">
      <c r="B2" s="435" t="s">
        <v>367</v>
      </c>
      <c r="C2" s="435"/>
    </row>
    <row r="3" spans="2:23" ht="13.5" customHeight="1">
      <c r="B3" s="435"/>
      <c r="C3" s="435"/>
    </row>
    <row r="4" spans="2:23" ht="13.5" customHeight="1">
      <c r="B4" s="435"/>
      <c r="C4" s="435"/>
      <c r="D4" s="233" t="s">
        <v>16</v>
      </c>
      <c r="G4" s="445" t="s">
        <v>216</v>
      </c>
      <c r="H4" s="445"/>
    </row>
    <row r="5" spans="2:23" ht="28.5">
      <c r="B5" s="234"/>
      <c r="D5" s="235" t="s">
        <v>203</v>
      </c>
      <c r="E5" s="236">
        <f ca="1">'3. Costing Tool'!C127</f>
        <v>0.14000000000000001</v>
      </c>
      <c r="F5" s="237"/>
      <c r="G5" s="238" t="s">
        <v>60</v>
      </c>
      <c r="H5" s="236">
        <f ca="1">'3. Costing Tool'!F127</f>
        <v>5</v>
      </c>
    </row>
    <row r="6" spans="2:23" ht="28.5">
      <c r="B6" s="234"/>
      <c r="D6" s="238" t="s">
        <v>197</v>
      </c>
      <c r="E6" s="236">
        <f ca="1">'3. Costing Tool'!C128</f>
        <v>0.18</v>
      </c>
      <c r="F6" s="237"/>
      <c r="G6" s="238" t="s">
        <v>269</v>
      </c>
      <c r="H6" s="236">
        <f ca="1">'3. Costing Tool'!F128</f>
        <v>20</v>
      </c>
    </row>
    <row r="7" spans="2:23">
      <c r="B7" s="234"/>
      <c r="D7" s="238" t="s">
        <v>204</v>
      </c>
      <c r="E7" s="236">
        <f ca="1">'3. Costing Tool'!C129</f>
        <v>0.05</v>
      </c>
      <c r="F7" s="237"/>
    </row>
    <row r="8" spans="2:23">
      <c r="B8" s="234"/>
      <c r="D8" s="238" t="s">
        <v>196</v>
      </c>
      <c r="E8" s="236">
        <f ca="1">'3. Costing Tool'!C130</f>
        <v>0.14000000000000001</v>
      </c>
      <c r="F8" s="237"/>
    </row>
    <row r="9" spans="2:23">
      <c r="B9" s="234"/>
      <c r="D9" s="238" t="s">
        <v>192</v>
      </c>
      <c r="E9" s="236">
        <f ca="1">'3. Costing Tool'!C131</f>
        <v>0.27</v>
      </c>
      <c r="F9" s="237"/>
    </row>
    <row r="10" spans="2:23">
      <c r="B10" s="234"/>
      <c r="D10" s="238" t="s">
        <v>206</v>
      </c>
      <c r="E10" s="236">
        <f ca="1">'3. Costing Tool'!C132</f>
        <v>0.15</v>
      </c>
      <c r="F10" s="237"/>
    </row>
    <row r="11" spans="2:23">
      <c r="B11" s="234"/>
      <c r="D11" s="238" t="s">
        <v>207</v>
      </c>
      <c r="E11" s="236">
        <f ca="1">'3. Costing Tool'!C133</f>
        <v>0.06</v>
      </c>
      <c r="F11" s="237"/>
    </row>
    <row r="12" spans="2:23" ht="55.5" customHeight="1">
      <c r="B12" s="272" t="s">
        <v>368</v>
      </c>
      <c r="D12" s="239"/>
      <c r="E12" s="240"/>
    </row>
    <row r="13" spans="2:23" s="241" customFormat="1" ht="71.25">
      <c r="C13" s="242" t="s">
        <v>369</v>
      </c>
      <c r="D13" s="242" t="s">
        <v>370</v>
      </c>
      <c r="E13" s="264" t="s">
        <v>373</v>
      </c>
      <c r="F13" s="264" t="s">
        <v>371</v>
      </c>
      <c r="G13" s="265" t="s">
        <v>372</v>
      </c>
      <c r="H13" s="243" t="s">
        <v>374</v>
      </c>
      <c r="I13" s="264" t="s">
        <v>371</v>
      </c>
      <c r="J13" s="265" t="s">
        <v>375</v>
      </c>
      <c r="K13" s="243" t="s">
        <v>376</v>
      </c>
      <c r="L13" s="264" t="s">
        <v>371</v>
      </c>
      <c r="M13" s="265" t="s">
        <v>377</v>
      </c>
      <c r="N13" s="243" t="s">
        <v>378</v>
      </c>
      <c r="O13" s="264" t="s">
        <v>371</v>
      </c>
      <c r="P13" s="265" t="s">
        <v>379</v>
      </c>
      <c r="Q13" s="243" t="s">
        <v>380</v>
      </c>
      <c r="R13" s="264" t="s">
        <v>371</v>
      </c>
      <c r="S13" s="265" t="s">
        <v>381</v>
      </c>
      <c r="T13" s="243" t="s">
        <v>382</v>
      </c>
      <c r="U13" s="264" t="s">
        <v>371</v>
      </c>
      <c r="V13" s="265" t="s">
        <v>383</v>
      </c>
      <c r="W13" s="244" t="s">
        <v>384</v>
      </c>
    </row>
    <row r="14" spans="2:23" ht="71.25">
      <c r="C14" s="245" t="s">
        <v>209</v>
      </c>
      <c r="D14" s="246" t="s">
        <v>176</v>
      </c>
      <c r="E14" s="247">
        <f ca="1">2*30*4</f>
        <v>240</v>
      </c>
      <c r="F14" s="247">
        <f ca="1">E14*(100+$H$5)/100</f>
        <v>252</v>
      </c>
      <c r="G14" s="248">
        <f ca="1">F14*'3. Costing Tool'!C127</f>
        <v>35.28</v>
      </c>
      <c r="H14" s="249">
        <f ca="1">3*30*8</f>
        <v>720</v>
      </c>
      <c r="I14" s="247">
        <f ca="1">H14*(100+$H$5)/100</f>
        <v>756</v>
      </c>
      <c r="J14" s="248">
        <f ca="1">I14*'3. Costing Tool'!C127</f>
        <v>105.84</v>
      </c>
      <c r="K14" s="249">
        <f ca="1">4*30*24</f>
        <v>2880</v>
      </c>
      <c r="L14" s="249">
        <f ca="1">K14*(100+$H$5)/100</f>
        <v>3024</v>
      </c>
      <c r="M14" s="248">
        <f ca="1">L14*'3. Costing Tool'!C127</f>
        <v>423.36</v>
      </c>
      <c r="N14" s="249">
        <f ca="1">5*30*36</f>
        <v>5400</v>
      </c>
      <c r="O14" s="249">
        <f ca="1">N14*(100+$H$5)/100</f>
        <v>5670</v>
      </c>
      <c r="P14" s="248">
        <f ca="1">O14*'3. Costing Tool'!C127</f>
        <v>793.80000000000007</v>
      </c>
      <c r="Q14" s="249">
        <f ca="1">6*30*24</f>
        <v>4320</v>
      </c>
      <c r="R14" s="249">
        <f ca="1">Q14*(100+$H$5)/100</f>
        <v>4536</v>
      </c>
      <c r="S14" s="248">
        <f ca="1">R14*'3. Costing Tool'!C127</f>
        <v>635.04000000000008</v>
      </c>
      <c r="T14" s="249">
        <f ca="1">2*30*84</f>
        <v>5040</v>
      </c>
      <c r="U14" s="249">
        <f ca="1">T14*(100+$H$5)/100</f>
        <v>5292</v>
      </c>
      <c r="V14" s="248">
        <f ca="1">U14*'3. Costing Tool'!C128</f>
        <v>952.56</v>
      </c>
      <c r="W14" s="249">
        <f>G14+J14+M14+P14+S14+V14</f>
        <v>2945.88</v>
      </c>
    </row>
    <row r="15" spans="2:23">
      <c r="C15" s="442" t="s">
        <v>169</v>
      </c>
      <c r="D15" s="250" t="s">
        <v>179</v>
      </c>
      <c r="E15" s="251" t="s">
        <v>170</v>
      </c>
      <c r="F15" s="249"/>
      <c r="G15" s="248">
        <v>0</v>
      </c>
      <c r="H15" s="251" t="s">
        <v>170</v>
      </c>
      <c r="I15" s="249"/>
      <c r="J15" s="248">
        <v>0</v>
      </c>
      <c r="K15" s="251" t="s">
        <v>170</v>
      </c>
      <c r="L15" s="249"/>
      <c r="M15" s="248">
        <v>0</v>
      </c>
      <c r="N15" s="249">
        <f ca="1">1.5*30*36</f>
        <v>1620</v>
      </c>
      <c r="O15" s="249">
        <f ca="1">N15*(100+$H$5)/100</f>
        <v>1701</v>
      </c>
      <c r="P15" s="248">
        <f ca="1">O15*'3. Costing Tool'!C133</f>
        <v>102.06</v>
      </c>
      <c r="Q15" s="249">
        <f ca="1">1.5*30*24</f>
        <v>1080</v>
      </c>
      <c r="R15" s="249">
        <f ca="1">Q15*(100+$H$5)/100</f>
        <v>1134</v>
      </c>
      <c r="S15" s="248">
        <f ca="1">R15*'3. Costing Tool'!C133</f>
        <v>68.039999999999992</v>
      </c>
      <c r="T15" s="249">
        <f ca="1">2*30*84</f>
        <v>5040</v>
      </c>
      <c r="U15" s="249">
        <f ca="1">T15*(100+$H$5)/100</f>
        <v>5292</v>
      </c>
      <c r="V15" s="248">
        <f ca="1">U15*'3. Costing Tool'!C133</f>
        <v>317.52</v>
      </c>
      <c r="W15" s="249">
        <f>G14+J14+M14+P15+S15+V15</f>
        <v>1052.0999999999999</v>
      </c>
    </row>
    <row r="16" spans="2:23" ht="42.75">
      <c r="C16" s="442"/>
      <c r="D16" s="252" t="s">
        <v>177</v>
      </c>
      <c r="E16" s="247">
        <f ca="1">2*30*4</f>
        <v>240</v>
      </c>
      <c r="F16" s="247">
        <f ca="1">E16*(100+$H$5)/100</f>
        <v>252</v>
      </c>
      <c r="G16" s="248">
        <f ca="1">F16*'3. Costing Tool'!C129</f>
        <v>12.600000000000001</v>
      </c>
      <c r="H16" s="249">
        <f ca="1">3*30*8</f>
        <v>720</v>
      </c>
      <c r="I16" s="247">
        <f ca="1">H16*(100+$H$5)/100</f>
        <v>756</v>
      </c>
      <c r="J16" s="248">
        <f ca="1">I16*'3. Costing Tool'!C129</f>
        <v>37.800000000000004</v>
      </c>
      <c r="K16" s="249">
        <f ca="1">4*30*24</f>
        <v>2880</v>
      </c>
      <c r="L16" s="249">
        <f ca="1">K16*(100+$H$5)/100</f>
        <v>3024</v>
      </c>
      <c r="M16" s="248">
        <f ca="1">L16*'3. Costing Tool'!C129</f>
        <v>151.20000000000002</v>
      </c>
      <c r="N16" s="249">
        <f ca="1">5*30*36</f>
        <v>5400</v>
      </c>
      <c r="O16" s="249">
        <f ca="1">N16*(100+$H$5)/100</f>
        <v>5670</v>
      </c>
      <c r="P16" s="248">
        <f ca="1">O16*'3. Costing Tool'!C129</f>
        <v>283.5</v>
      </c>
      <c r="Q16" s="249">
        <f ca="1">6*30*24</f>
        <v>4320</v>
      </c>
      <c r="R16" s="249">
        <f ca="1">Q16*(100+$H$5)/100</f>
        <v>4536</v>
      </c>
      <c r="S16" s="248">
        <f ca="1">R16*'3. Costing Tool'!C129</f>
        <v>226.8</v>
      </c>
      <c r="T16" s="249">
        <f ca="1">2*30*84</f>
        <v>5040</v>
      </c>
      <c r="U16" s="249">
        <f ca="1">T16*(100+$H$5)/100</f>
        <v>5292</v>
      </c>
      <c r="V16" s="248">
        <f ca="1">U16*'3. Costing Tool'!C130</f>
        <v>740.88000000000011</v>
      </c>
      <c r="W16" s="249">
        <f>P16+S16+V16</f>
        <v>1251.18</v>
      </c>
    </row>
    <row r="17" spans="2:23" ht="42.75">
      <c r="C17" s="443" t="s">
        <v>171</v>
      </c>
      <c r="D17" s="253" t="s">
        <v>178</v>
      </c>
      <c r="E17" s="249">
        <f ca="1">2*30+3*30*3</f>
        <v>330</v>
      </c>
      <c r="F17" s="249">
        <f ca="1">E17*(100+$H$6)/100</f>
        <v>396</v>
      </c>
      <c r="G17" s="248">
        <f ca="1">F17*'3. Costing Tool'!C131</f>
        <v>106.92</v>
      </c>
      <c r="H17" s="249">
        <f ca="1">3*30*8</f>
        <v>720</v>
      </c>
      <c r="I17" s="249">
        <f ca="1">H17*(100+$H$6)/100</f>
        <v>864</v>
      </c>
      <c r="J17" s="248">
        <f ca="1">I17*'3. Costing Tool'!C131</f>
        <v>233.28000000000003</v>
      </c>
      <c r="K17" s="249">
        <f ca="1">3*30*24</f>
        <v>2160</v>
      </c>
      <c r="L17" s="249">
        <f ca="1">K17*(100+$H$5)/100</f>
        <v>2268</v>
      </c>
      <c r="M17" s="248">
        <f ca="1">L17*'3. Costing Tool'!C132</f>
        <v>340.2</v>
      </c>
      <c r="N17" s="249">
        <f ca="1">4*30*36</f>
        <v>4320</v>
      </c>
      <c r="O17" s="249">
        <f ca="1">N17*(100+$H$5)/100</f>
        <v>4536</v>
      </c>
      <c r="P17" s="248">
        <f ca="1">O17*'3. Costing Tool'!C132</f>
        <v>680.4</v>
      </c>
      <c r="Q17" s="249">
        <f ca="1">4*30*24</f>
        <v>2880</v>
      </c>
      <c r="R17" s="249">
        <f ca="1">Q17*(100+$H$5)/100</f>
        <v>3024</v>
      </c>
      <c r="S17" s="248">
        <f ca="1">R17*'3. Costing Tool'!C132</f>
        <v>453.59999999999997</v>
      </c>
      <c r="T17" s="249">
        <f ca="1">6*30*84</f>
        <v>15120</v>
      </c>
      <c r="U17" s="249">
        <f ca="1">T17*(100+$H$5)/100</f>
        <v>15876</v>
      </c>
      <c r="V17" s="248">
        <f ca="1">U17*'3. Costing Tool'!C132</f>
        <v>2381.4</v>
      </c>
      <c r="W17" s="249">
        <f>G17+J17+M17+P17+S17+V17</f>
        <v>4195.8</v>
      </c>
    </row>
    <row r="18" spans="2:23" ht="42.75">
      <c r="C18" s="444"/>
      <c r="D18" s="253" t="s">
        <v>177</v>
      </c>
      <c r="E18" s="247">
        <f ca="1">2*30*4</f>
        <v>240</v>
      </c>
      <c r="F18" s="247">
        <f ca="1">E18*(100+$H$5)/100</f>
        <v>252</v>
      </c>
      <c r="G18" s="248">
        <f ca="1">F18*'3. Costing Tool'!C129</f>
        <v>12.600000000000001</v>
      </c>
      <c r="H18" s="249">
        <f ca="1">3*30*8</f>
        <v>720</v>
      </c>
      <c r="I18" s="247">
        <f ca="1">H18*(100+$H$5)/100</f>
        <v>756</v>
      </c>
      <c r="J18" s="248">
        <f ca="1">I18*'3. Costing Tool'!C129</f>
        <v>37.800000000000004</v>
      </c>
      <c r="K18" s="249">
        <f ca="1">4*30*24</f>
        <v>2880</v>
      </c>
      <c r="L18" s="249">
        <f ca="1">K18*(100+$H$5)/100</f>
        <v>3024</v>
      </c>
      <c r="M18" s="248">
        <f ca="1">L18*'3. Costing Tool'!C129</f>
        <v>151.20000000000002</v>
      </c>
      <c r="N18" s="249">
        <f ca="1">5*30*36</f>
        <v>5400</v>
      </c>
      <c r="O18" s="249">
        <f ca="1">N18*(100+$H$5)/100</f>
        <v>5670</v>
      </c>
      <c r="P18" s="248">
        <f ca="1">O18*'3. Costing Tool'!C129</f>
        <v>283.5</v>
      </c>
      <c r="Q18" s="249">
        <f ca="1">6*30*24</f>
        <v>4320</v>
      </c>
      <c r="R18" s="249">
        <f ca="1">Q18*(100+$H$5)/100</f>
        <v>4536</v>
      </c>
      <c r="S18" s="248">
        <f ca="1">R18*'3. Costing Tool'!C129</f>
        <v>226.8</v>
      </c>
      <c r="T18" s="249">
        <f ca="1">2*30*84</f>
        <v>5040</v>
      </c>
      <c r="U18" s="249">
        <f ca="1">T18*(100+$H$5)/100</f>
        <v>5292</v>
      </c>
      <c r="V18" s="248">
        <f ca="1">U18*'3. Costing Tool'!C130</f>
        <v>740.88000000000011</v>
      </c>
      <c r="W18" s="249">
        <f>G18+J18+M18+P18+S18+V18</f>
        <v>1452.7800000000002</v>
      </c>
    </row>
    <row r="19" spans="2:23">
      <c r="C19" s="232" t="s">
        <v>385</v>
      </c>
    </row>
    <row r="20" spans="2:23">
      <c r="C20" s="232" t="s">
        <v>386</v>
      </c>
    </row>
    <row r="21" spans="2:23">
      <c r="C21" s="232" t="s">
        <v>387</v>
      </c>
    </row>
    <row r="23" spans="2:23" ht="47.25" customHeight="1">
      <c r="B23" s="272" t="s">
        <v>388</v>
      </c>
    </row>
    <row r="24" spans="2:23" ht="42.75" customHeight="1">
      <c r="B24" s="244" t="str">
        <f ca="1">'3. Costing Tool'!$C$2</f>
        <v>Target Scenario</v>
      </c>
      <c r="C24" s="248" t="s">
        <v>389</v>
      </c>
      <c r="D24" s="273" t="s">
        <v>391</v>
      </c>
      <c r="E24" s="273" t="s">
        <v>369</v>
      </c>
      <c r="F24" s="272" t="s">
        <v>392</v>
      </c>
      <c r="G24" s="272" t="s">
        <v>393</v>
      </c>
      <c r="H24" s="272" t="s">
        <v>394</v>
      </c>
      <c r="I24" s="272" t="s">
        <v>395</v>
      </c>
      <c r="J24" s="272" t="s">
        <v>396</v>
      </c>
      <c r="K24" s="272" t="s">
        <v>397</v>
      </c>
      <c r="L24" s="272" t="s">
        <v>398</v>
      </c>
      <c r="M24" s="244" t="s">
        <v>399</v>
      </c>
    </row>
    <row r="25" spans="2:23" ht="17.100000000000001" customHeight="1">
      <c r="C25" s="438" t="s">
        <v>390</v>
      </c>
      <c r="D25" s="242" t="s">
        <v>390</v>
      </c>
      <c r="E25" s="254" t="s">
        <v>171</v>
      </c>
      <c r="F25" s="249">
        <f ca="1">'3. Costing Tool'!C$146</f>
        <v>3.4295</v>
      </c>
      <c r="G25" s="249">
        <f>($G$17+$G$18)*$F25</f>
        <v>409.89384000000001</v>
      </c>
      <c r="H25" s="249">
        <f>($J$17+$J$18)*$F25</f>
        <v>929.66886000000011</v>
      </c>
      <c r="I25" s="249">
        <f>($M$17+$M$18)*$F25/2/1.03+($M$17+$M$18)*$F25/2/1.03^2</f>
        <v>1612.3434296352152</v>
      </c>
      <c r="J25" s="249">
        <f>($P$17+$P$18)*$F25/3/1.03^3+($P$17+$P$18)*$F25/3/1.03^4+($P$17+$P$18)*$F25/3/1.03^5</f>
        <v>2937.9226927605932</v>
      </c>
      <c r="K25" s="249">
        <f>($S$17+$S$18)*$F25/2/1.03^6+($S$17+$S$18)*$F25/2/1.03^7</f>
        <v>1925.7529927118219</v>
      </c>
      <c r="L25" s="249">
        <f>($V$17+$V$18)*$F25/7/1.03^8+($V$17+$V$18)*$F25/7/1.03^9+($V$17+$V$18)*$F25/7/1.03^10+($V$17+$V$18)*$F25/7/1.03^11+($V$17+$V$18)*$F25/7/1.03^12+($V$17+$V$18)*$F25/7/1.03^13+($V$17+$V$18)*$F25/7/1.03^14</f>
        <v>7749.1097618073481</v>
      </c>
      <c r="M25" s="249">
        <f t="shared" ref="M25:M30" si="0">SUM(G25:L25)</f>
        <v>15564.691576914978</v>
      </c>
    </row>
    <row r="26" spans="2:23" ht="17.100000000000001" customHeight="1">
      <c r="C26" s="439"/>
      <c r="D26" s="436" t="s">
        <v>172</v>
      </c>
      <c r="E26" s="245" t="s">
        <v>209</v>
      </c>
      <c r="F26" s="249">
        <f ca="1">'3. Costing Tool'!C$152</f>
        <v>5.1442499999999995</v>
      </c>
      <c r="G26" s="249">
        <f>$G$14*$F26</f>
        <v>181.48913999999999</v>
      </c>
      <c r="H26" s="249">
        <f>$J$14*$F26</f>
        <v>544.46741999999995</v>
      </c>
      <c r="I26" s="249">
        <f>$M$14*$F26/2/1.03+$M$14*$F26/2/1.03^2</f>
        <v>2083.6438167593551</v>
      </c>
      <c r="J26" s="249">
        <f>$P$14*$F26/3/1.03^3+$P$14*$F26/3/1.03^4+$P$14*$F26/3/1.03^5</f>
        <v>3629.1986204689683</v>
      </c>
      <c r="K26" s="249">
        <f>$S$14*$F26/2/1.03^6+$S$14*$F26/2/1.03^7</f>
        <v>2696.0541897965509</v>
      </c>
      <c r="L26" s="249">
        <f>$V$14*$F26/7/1.03^8+$V$14*$F26/7/1.03^9+$V$14*$F26/7/1.03^10+$V$14*$F26/7/1.03^11+$V$14*$F26/7/1.03^12+$V$14*$F26/7/1.03^13+$V$14*$F26/7/1.03^14</f>
        <v>3546.2027723525139</v>
      </c>
      <c r="M26" s="249">
        <f t="shared" si="0"/>
        <v>12681.055959377387</v>
      </c>
    </row>
    <row r="27" spans="2:23" ht="17.100000000000001" customHeight="1">
      <c r="C27" s="440"/>
      <c r="D27" s="437"/>
      <c r="E27" s="254" t="s">
        <v>171</v>
      </c>
      <c r="F27" s="249">
        <f ca="1">'3. Costing Tool'!C$152</f>
        <v>5.1442499999999995</v>
      </c>
      <c r="G27" s="249">
        <f>($G$17+$G$18)*$F27</f>
        <v>614.84076000000005</v>
      </c>
      <c r="H27" s="249">
        <f>($J$17+$J$18)*$F27</f>
        <v>1394.5032900000001</v>
      </c>
      <c r="I27" s="249">
        <f>($M$17+$M$18)*$F27/2/1.03+($M$17+$M$18)*$F27/2/1.03^2</f>
        <v>2418.5151444528228</v>
      </c>
      <c r="J27" s="249">
        <f>($P$17+$P$18)*$F27/3/1.03^3+($P$17+$P$18)*$F27/3/1.03^4+($P$17+$P$18)*$F27/3/1.03^5</f>
        <v>4406.8840391408894</v>
      </c>
      <c r="K27" s="249">
        <f>($S$17+$S$18)*$F27/2/1.03^6+($S$17+$S$18)*$F27/2/1.03^7</f>
        <v>2888.6294890677327</v>
      </c>
      <c r="L27" s="249">
        <f>($V$17+$V$18)*$F27/7/1.03^8+($V$17+$V$18)*$F27/7/1.03^9+($V$17+$V$18)*$F27/7/1.03^10+($V$17+$V$18)*$F27/7/1.03^11+($V$17+$V$18)*$F27/7/1.03^12+($V$17+$V$18)*$F27/7/1.03^13+($V$17+$V$18)*$F27/7/1.03^14</f>
        <v>11623.664642711021</v>
      </c>
      <c r="M27" s="249">
        <f t="shared" si="0"/>
        <v>23347.037365372467</v>
      </c>
    </row>
    <row r="28" spans="2:23" ht="17.100000000000001" customHeight="1">
      <c r="C28" s="438" t="s">
        <v>172</v>
      </c>
      <c r="D28" s="436" t="s">
        <v>172</v>
      </c>
      <c r="E28" s="245" t="s">
        <v>209</v>
      </c>
      <c r="F28" s="249">
        <f ca="1">'3. Costing Tool'!C$158</f>
        <v>16.151947500000009</v>
      </c>
      <c r="G28" s="249">
        <f>$G$14*$F28</f>
        <v>569.84070780000036</v>
      </c>
      <c r="H28" s="249">
        <f>$J$14*$F28</f>
        <v>1709.522123400001</v>
      </c>
      <c r="I28" s="249">
        <f>$M$14*$F28/2/1.03+$M$14*$F28/2/1.03^2</f>
        <v>6542.2375539673903</v>
      </c>
      <c r="J28" s="249">
        <f>$P$14*$F28/3/1.03^3+$P$14*$F28/3/1.03^4+$P$14*$F28/3/1.03^5</f>
        <v>11394.979945548377</v>
      </c>
      <c r="K28" s="249">
        <f>$S$14*$F28/2/1.03^6+$S$14*$F28/2/1.03^7</f>
        <v>8465.0873753703563</v>
      </c>
      <c r="L28" s="249">
        <f>$V$14*$F28/7/1.03^8+$V$14*$F28/7/1.03^9+$V$14*$F28/7/1.03^10+$V$14*$F28/7/1.03^11+$V$14*$F28/7/1.03^12+$V$14*$F28/7/1.03^13+$V$14*$F28/7/1.03^14</f>
        <v>11134.389075840461</v>
      </c>
      <c r="M28" s="249">
        <f t="shared" si="0"/>
        <v>39816.056781926585</v>
      </c>
    </row>
    <row r="29" spans="2:23" ht="17.100000000000001" customHeight="1">
      <c r="C29" s="439"/>
      <c r="D29" s="441"/>
      <c r="E29" s="245" t="s">
        <v>173</v>
      </c>
      <c r="F29" s="249">
        <f ca="1">'3. Costing Tool'!C$158</f>
        <v>16.151947500000009</v>
      </c>
      <c r="G29" s="249">
        <f>$G$14*$F29</f>
        <v>569.84070780000036</v>
      </c>
      <c r="H29" s="249">
        <f>$J$14*$F29</f>
        <v>1709.522123400001</v>
      </c>
      <c r="I29" s="249">
        <f>$M$14*$F29/2/1.03+$M$14*$F29/2/1.03^2</f>
        <v>6542.2375539673903</v>
      </c>
      <c r="J29" s="249">
        <f>($P$15+$P$16)*$F29/3/1.03^3+($P$15+$P$16)*$F29/3/1.03^4+($P$15+$P$16)*$F29/3/1.03^5</f>
        <v>5534.7045449806392</v>
      </c>
      <c r="K29" s="249">
        <f>($S$15+$S$16)*$F29/2/1.03^6+($S$15+$S$16)*$F29/2/1.03^7</f>
        <v>3930.2191385648084</v>
      </c>
      <c r="L29" s="249">
        <f>($V$15+$V$16)*$F29/7/1.03^8+($V$15+$V$16)*$F29/7/1.03^9+($V$15+$V$16)*$F29/7/1.03^10+($V$15+$V$16)*$F29/7/1.03^11+($V$15+$V$16)*$F29/7/1.03^12+($V$15+$V$16)*$F29/7/1.03^13+($V$15+$V$16)*$F29/7/1.03^14</f>
        <v>12371.543417600516</v>
      </c>
      <c r="M29" s="249">
        <f t="shared" si="0"/>
        <v>30658.067486313354</v>
      </c>
    </row>
    <row r="30" spans="2:23" ht="17.100000000000001" customHeight="1">
      <c r="C30" s="440"/>
      <c r="D30" s="437"/>
      <c r="E30" s="254" t="s">
        <v>171</v>
      </c>
      <c r="F30" s="249">
        <f ca="1">'3. Costing Tool'!C$158</f>
        <v>16.151947500000009</v>
      </c>
      <c r="G30" s="249">
        <f>($G$17+$G$18)*$F30</f>
        <v>1930.4807652000013</v>
      </c>
      <c r="H30" s="249">
        <f>($J$17+$J$18)*$F30</f>
        <v>4378.4699283000027</v>
      </c>
      <c r="I30" s="249">
        <f>($M$17+$M$18)*$F30/2/1.03+($M$17+$M$18)*$F30/2/1.03^2</f>
        <v>7593.6685894264347</v>
      </c>
      <c r="J30" s="249">
        <f>($P$17+$P$18)*$F30/3/1.03^3+($P$17+$P$18)*$F30/3/1.03^4+($P$17+$P$18)*$F30/3/1.03^5</f>
        <v>13836.761362451598</v>
      </c>
      <c r="K30" s="249">
        <f>($S$17+$S$18)*$F30/2/1.03^6+($S$17+$S$18)*$F30/2/1.03^7</f>
        <v>9069.736473611094</v>
      </c>
      <c r="L30" s="249">
        <f>($V$17+$V$18)*$F30/7/1.03^8+($V$17+$V$18)*$F30/7/1.03^9+($V$17+$V$18)*$F30/7/1.03^10+($V$17+$V$18)*$F30/7/1.03^11+($V$17+$V$18)*$F30/7/1.03^12+($V$17+$V$18)*$F30/7/1.03^13+($V$17+$V$18)*$F30/7/1.03^14</f>
        <v>36496.053081921513</v>
      </c>
      <c r="M30" s="249">
        <f t="shared" si="0"/>
        <v>73305.170200910652</v>
      </c>
    </row>
    <row r="32" spans="2:23" ht="28.5">
      <c r="B32" s="244" t="str">
        <f ca="1">'3. Costing Tool'!$D$2</f>
        <v>Intermediate Scenario 2</v>
      </c>
      <c r="C32" s="248" t="s">
        <v>389</v>
      </c>
      <c r="D32" s="273" t="s">
        <v>391</v>
      </c>
      <c r="E32" s="273" t="s">
        <v>369</v>
      </c>
      <c r="F32" s="272" t="s">
        <v>392</v>
      </c>
      <c r="G32" s="272" t="s">
        <v>393</v>
      </c>
      <c r="H32" s="272" t="s">
        <v>394</v>
      </c>
      <c r="I32" s="272" t="s">
        <v>395</v>
      </c>
      <c r="J32" s="272" t="s">
        <v>396</v>
      </c>
      <c r="K32" s="272" t="s">
        <v>397</v>
      </c>
      <c r="L32" s="272" t="s">
        <v>398</v>
      </c>
      <c r="M32" s="244" t="s">
        <v>399</v>
      </c>
    </row>
    <row r="33" spans="2:13" ht="17.100000000000001" customHeight="1">
      <c r="C33" s="438" t="s">
        <v>390</v>
      </c>
      <c r="D33" s="242" t="s">
        <v>390</v>
      </c>
      <c r="E33" s="254" t="s">
        <v>171</v>
      </c>
      <c r="F33" s="249">
        <f ca="1">'3. Costing Tool'!D$146</f>
        <v>2.6010000000000004</v>
      </c>
      <c r="G33" s="249">
        <f>($G$17+$G$18)*$F33</f>
        <v>310.87152000000009</v>
      </c>
      <c r="H33" s="249">
        <f>($J$17+$J$18)*$F33</f>
        <v>705.0790800000002</v>
      </c>
      <c r="I33" s="249">
        <f>($M$17+$M$18)*$F33/2/1.03+($M$17+$M$18)*$F33/2/1.03^2</f>
        <v>1222.8328504100296</v>
      </c>
      <c r="J33" s="249">
        <f>($P$17+$P$18)*$F33/3/1.03^3+($P$17+$P$18)*$F33/3/1.03^4+($P$17+$P$18)*$F33/3/1.03^5</f>
        <v>2228.178137883162</v>
      </c>
      <c r="K33" s="249">
        <f>($S$17+$S$18)*$F33/2/1.03^6+($S$17+$S$18)*$F33/2/1.03^7</f>
        <v>1460.5288042115321</v>
      </c>
      <c r="L33" s="249">
        <f>($V$17+$V$18)*$F33/7/1.03^8+($V$17+$V$18)*$F33/7/1.03^9+($V$17+$V$18)*$F33/7/1.03^10+($V$17+$V$18)*$F33/7/1.03^11+($V$17+$V$18)*$F33/7/1.03^12+($V$17+$V$18)*$F33/7/1.03^13+($V$17+$V$18)*$F33/7/1.03^14</f>
        <v>5877.0766847823043</v>
      </c>
      <c r="M33" s="249">
        <f t="shared" ref="M33:M38" si="1">SUM(G33:L33)</f>
        <v>11804.567077287029</v>
      </c>
    </row>
    <row r="34" spans="2:13" ht="17.100000000000001" customHeight="1">
      <c r="C34" s="439"/>
      <c r="D34" s="436" t="s">
        <v>172</v>
      </c>
      <c r="E34" s="245" t="s">
        <v>209</v>
      </c>
      <c r="F34" s="249">
        <f ca="1">'3. Costing Tool'!D$152</f>
        <v>3.9015</v>
      </c>
      <c r="G34" s="249">
        <f>$G$14*$F34</f>
        <v>137.64492000000001</v>
      </c>
      <c r="H34" s="249">
        <f>$J$14*$F34</f>
        <v>412.93475999999998</v>
      </c>
      <c r="I34" s="249">
        <f>$M$14*$F34/2/1.03+$M$14*$F34/2/1.03^2</f>
        <v>1580.2762989914222</v>
      </c>
      <c r="J34" s="249">
        <f>$P$14*$F34/3/1.03^3+$P$14*$F34/3/1.03^4+$P$14*$F34/3/1.03^5</f>
        <v>2752.4553467968472</v>
      </c>
      <c r="K34" s="249">
        <f>$S$14*$F34/2/1.03^6+$S$14*$F34/2/1.03^7</f>
        <v>2044.7403258961449</v>
      </c>
      <c r="L34" s="249">
        <f>$V$14*$F34/7/1.03^8+$V$14*$F34/7/1.03^9+$V$14*$F34/7/1.03^10+$V$14*$F34/7/1.03^11+$V$14*$F34/7/1.03^12+$V$14*$F34/7/1.03^13+$V$14*$F34/7/1.03^14</f>
        <v>2689.509669307155</v>
      </c>
      <c r="M34" s="249">
        <f t="shared" si="1"/>
        <v>9617.56132099157</v>
      </c>
    </row>
    <row r="35" spans="2:13" ht="17.100000000000001" customHeight="1">
      <c r="C35" s="440"/>
      <c r="D35" s="437"/>
      <c r="E35" s="254" t="s">
        <v>171</v>
      </c>
      <c r="F35" s="249">
        <f ca="1">'3. Costing Tool'!D$152</f>
        <v>3.9015</v>
      </c>
      <c r="G35" s="249">
        <f>($G$17+$G$18)*$F35</f>
        <v>466.30728000000005</v>
      </c>
      <c r="H35" s="249">
        <f>($J$17+$J$18)*$F35</f>
        <v>1057.6186200000002</v>
      </c>
      <c r="I35" s="249">
        <f>($M$17+$M$18)*$F35/2/1.03+($M$17+$M$18)*$F35/2/1.03^2</f>
        <v>1834.2492756150436</v>
      </c>
      <c r="J35" s="249">
        <f>($P$17+$P$18)*$F35/3/1.03^3+($P$17+$P$18)*$F35/3/1.03^4+($P$17+$P$18)*$F35/3/1.03^5</f>
        <v>3342.267206824743</v>
      </c>
      <c r="K35" s="249">
        <f>($S$17+$S$18)*$F35/2/1.03^6+($S$17+$S$18)*$F35/2/1.03^7</f>
        <v>2190.793206317298</v>
      </c>
      <c r="L35" s="249">
        <f>($V$17+$V$18)*$F35/7/1.03^8+($V$17+$V$18)*$F35/7/1.03^9+($V$17+$V$18)*$F35/7/1.03^10+($V$17+$V$18)*$F35/7/1.03^11+($V$17+$V$18)*$F35/7/1.03^12+($V$17+$V$18)*$F35/7/1.03^13+($V$17+$V$18)*$F35/7/1.03^14</f>
        <v>8815.615027173455</v>
      </c>
      <c r="M35" s="249">
        <f t="shared" si="1"/>
        <v>17706.85061593054</v>
      </c>
    </row>
    <row r="36" spans="2:13" ht="17.100000000000001" customHeight="1">
      <c r="C36" s="438" t="s">
        <v>172</v>
      </c>
      <c r="D36" s="436" t="s">
        <v>172</v>
      </c>
      <c r="E36" s="245" t="s">
        <v>209</v>
      </c>
      <c r="F36" s="249">
        <f ca="1">'3. Costing Tool'!D$158</f>
        <v>43.551405000000003</v>
      </c>
      <c r="G36" s="249">
        <f>$G$14*$F36</f>
        <v>1536.4935684000002</v>
      </c>
      <c r="H36" s="249">
        <f>$J$14*$F36</f>
        <v>4609.4807052000006</v>
      </c>
      <c r="I36" s="249">
        <f>$M$14*$F36/2/1.03+$M$14*$F36/2/1.03^2</f>
        <v>17640.203283167124</v>
      </c>
      <c r="J36" s="249">
        <f>$P$14*$F36/3/1.03^3+$P$14*$F36/3/1.03^4+$P$14*$F36/3/1.03^5</f>
        <v>30724.925683138521</v>
      </c>
      <c r="K36" s="249">
        <f>$S$14*$F36/2/1.03^6+$S$14*$F36/2/1.03^7</f>
        <v>22824.891465573499</v>
      </c>
      <c r="L36" s="249">
        <f>$V$14*$F36/7/1.03^8+$V$14*$F36/7/1.03^9+$V$14*$F36/7/1.03^10+$V$14*$F36/7/1.03^11+$V$14*$F36/7/1.03^12+$V$14*$F36/7/1.03^13+$V$14*$F36/7/1.03^14</f>
        <v>30022.279856314752</v>
      </c>
      <c r="M36" s="249">
        <f t="shared" si="1"/>
        <v>107358.27456179389</v>
      </c>
    </row>
    <row r="37" spans="2:13" ht="17.100000000000001" customHeight="1">
      <c r="C37" s="439"/>
      <c r="D37" s="441"/>
      <c r="E37" s="245" t="s">
        <v>173</v>
      </c>
      <c r="F37" s="249">
        <f ca="1">'3. Costing Tool'!D$158</f>
        <v>43.551405000000003</v>
      </c>
      <c r="G37" s="249">
        <f>$G$14*$F37</f>
        <v>1536.4935684000002</v>
      </c>
      <c r="H37" s="249">
        <f>$J$14*$F37</f>
        <v>4609.4807052000006</v>
      </c>
      <c r="I37" s="249">
        <f>$M$14*$F37/2/1.03+$M$14*$F37/2/1.03^2</f>
        <v>17640.203283167124</v>
      </c>
      <c r="J37" s="249">
        <f>($P$15+$P$16)*$F37/3/1.03^3+($P$15+$P$16)*$F37/3/1.03^4+($P$15+$P$16)*$F37/3/1.03^5</f>
        <v>14923.535331810137</v>
      </c>
      <c r="K37" s="249">
        <f>($S$15+$S$16)*$F37/2/1.03^6+($S$15+$S$16)*$F37/2/1.03^7</f>
        <v>10597.271037587696</v>
      </c>
      <c r="L37" s="249">
        <f>($V$15+$V$16)*$F37/7/1.03^8+($V$15+$V$16)*$F37/7/1.03^9+($V$15+$V$16)*$F37/7/1.03^10+($V$15+$V$16)*$F37/7/1.03^11+($V$15+$V$16)*$F37/7/1.03^12+($V$15+$V$16)*$F37/7/1.03^13+($V$15+$V$16)*$F37/7/1.03^14</f>
        <v>33358.088729238618</v>
      </c>
      <c r="M37" s="249">
        <f t="shared" si="1"/>
        <v>82665.072655403579</v>
      </c>
    </row>
    <row r="38" spans="2:13" ht="17.100000000000001" customHeight="1">
      <c r="C38" s="440"/>
      <c r="D38" s="437"/>
      <c r="E38" s="254" t="s">
        <v>171</v>
      </c>
      <c r="F38" s="249">
        <f ca="1">'3. Costing Tool'!D$158</f>
        <v>43.551405000000003</v>
      </c>
      <c r="G38" s="249">
        <f>($G$17+$G$18)*$F38</f>
        <v>5205.2639256000011</v>
      </c>
      <c r="H38" s="249">
        <f>($J$17+$J$18)*$F38</f>
        <v>11805.914867400003</v>
      </c>
      <c r="I38" s="249">
        <f>($M$17+$M$18)*$F38/2/1.03+($M$17+$M$18)*$F38/2/1.03^2</f>
        <v>20475.235953676125</v>
      </c>
      <c r="J38" s="249">
        <f>($P$17+$P$18)*$F38/3/1.03^3+($P$17+$P$18)*$F38/3/1.03^4+($P$17+$P$18)*$F38/3/1.03^5</f>
        <v>37308.838329525352</v>
      </c>
      <c r="K38" s="249">
        <f>($S$17+$S$18)*$F38/2/1.03^6+($S$17+$S$18)*$F38/2/1.03^7</f>
        <v>24455.240855971606</v>
      </c>
      <c r="L38" s="249">
        <f>($V$17+$V$18)*$F38/7/1.03^8+($V$17+$V$18)*$F38/7/1.03^9+($V$17+$V$18)*$F38/7/1.03^10+($V$17+$V$18)*$F38/7/1.03^11+($V$17+$V$18)*$F38/7/1.03^12+($V$17+$V$18)*$F38/7/1.03^13+($V$17+$V$18)*$F38/7/1.03^14</f>
        <v>98406.36175125392</v>
      </c>
      <c r="M38" s="249">
        <f t="shared" si="1"/>
        <v>197656.85568342701</v>
      </c>
    </row>
    <row r="40" spans="2:13" ht="28.5">
      <c r="B40" s="244" t="str">
        <f ca="1">'3. Costing Tool'!$E$2</f>
        <v>Intermediate Scenario 1</v>
      </c>
      <c r="C40" s="248" t="s">
        <v>389</v>
      </c>
      <c r="D40" s="273" t="s">
        <v>391</v>
      </c>
      <c r="E40" s="273" t="s">
        <v>369</v>
      </c>
      <c r="F40" s="272" t="s">
        <v>392</v>
      </c>
      <c r="G40" s="272" t="s">
        <v>393</v>
      </c>
      <c r="H40" s="272" t="s">
        <v>394</v>
      </c>
      <c r="I40" s="272" t="s">
        <v>395</v>
      </c>
      <c r="J40" s="272" t="s">
        <v>396</v>
      </c>
      <c r="K40" s="272" t="s">
        <v>397</v>
      </c>
      <c r="L40" s="272" t="s">
        <v>398</v>
      </c>
      <c r="M40" s="244" t="s">
        <v>399</v>
      </c>
    </row>
    <row r="41" spans="2:13" ht="17.100000000000001" customHeight="1">
      <c r="C41" s="438" t="s">
        <v>390</v>
      </c>
      <c r="D41" s="242" t="s">
        <v>390</v>
      </c>
      <c r="E41" s="254" t="s">
        <v>171</v>
      </c>
      <c r="F41" s="249">
        <f ca="1">'3. Costing Tool'!E$146</f>
        <v>2.0249999999999999</v>
      </c>
      <c r="G41" s="249">
        <f>($G$17+$G$18)*$F41</f>
        <v>242.02800000000002</v>
      </c>
      <c r="H41" s="249">
        <f>($J$17+$J$18)*$F41</f>
        <v>548.93700000000001</v>
      </c>
      <c r="I41" s="249">
        <f>($M$17+$M$18)*$F41/2/1.03+($M$17+$M$18)*$F41/2/1.03^2</f>
        <v>952.03249599396736</v>
      </c>
      <c r="J41" s="249">
        <f>($P$17+$P$18)*$F41/3/1.03^3+($P$17+$P$18)*$F41/3/1.03^4+($P$17+$P$18)*$F41/3/1.03^5</f>
        <v>1734.7407647879286</v>
      </c>
      <c r="K41" s="249">
        <f>($S$17+$S$18)*$F41/2/1.03^6+($S$17+$S$18)*$F41/2/1.03^7</f>
        <v>1137.089899472646</v>
      </c>
      <c r="L41" s="249">
        <f>($V$17+$V$18)*$F41/7/1.03^8+($V$17+$V$18)*$F41/7/1.03^9+($V$17+$V$18)*$F41/7/1.03^10+($V$17+$V$18)*$F41/7/1.03^11+($V$17+$V$18)*$F41/7/1.03^12+($V$17+$V$18)*$F41/7/1.03^13+($V$17+$V$18)*$F41/7/1.03^14</f>
        <v>4575.5787338270529</v>
      </c>
      <c r="M41" s="249">
        <f t="shared" ref="M41:M46" si="2">SUM(G41:L41)</f>
        <v>9190.406894081596</v>
      </c>
    </row>
    <row r="42" spans="2:13" ht="17.100000000000001" customHeight="1">
      <c r="C42" s="439"/>
      <c r="D42" s="436" t="s">
        <v>172</v>
      </c>
      <c r="E42" s="245" t="s">
        <v>209</v>
      </c>
      <c r="F42" s="249">
        <f ca="1">'3. Costing Tool'!E$152</f>
        <v>3.0375000000000001</v>
      </c>
      <c r="G42" s="249">
        <f>$G$14*$F42</f>
        <v>107.16300000000001</v>
      </c>
      <c r="H42" s="249">
        <f>$J$14*$F42</f>
        <v>321.48900000000003</v>
      </c>
      <c r="I42" s="249">
        <f>$M$14*$F42/2/1.03+$M$14*$F42/2/1.03^2</f>
        <v>1230.3189178998964</v>
      </c>
      <c r="J42" s="249">
        <f>$P$14*$F42/3/1.03^3+$P$14*$F42/3/1.03^4+$P$14*$F42/3/1.03^5</f>
        <v>2142.9150623850892</v>
      </c>
      <c r="K42" s="249">
        <f>$S$14*$F42/2/1.03^6+$S$14*$F42/2/1.03^7</f>
        <v>1591.9258592617048</v>
      </c>
      <c r="L42" s="249">
        <f>$V$14*$F42/7/1.03^8+$V$14*$F42/7/1.03^9+$V$14*$F42/7/1.03^10+$V$14*$F42/7/1.03^11+$V$14*$F42/7/1.03^12+$V$14*$F42/7/1.03^13+$V$14*$F42/7/1.03^14</f>
        <v>2093.9089120903454</v>
      </c>
      <c r="M42" s="249">
        <f t="shared" si="2"/>
        <v>7487.7207516370354</v>
      </c>
    </row>
    <row r="43" spans="2:13" ht="17.100000000000001" customHeight="1">
      <c r="C43" s="440"/>
      <c r="D43" s="437"/>
      <c r="E43" s="254" t="s">
        <v>171</v>
      </c>
      <c r="F43" s="249">
        <f ca="1">'3. Costing Tool'!E$152</f>
        <v>3.0375000000000001</v>
      </c>
      <c r="G43" s="249">
        <f>($G$17+$G$18)*$F43</f>
        <v>363.04200000000003</v>
      </c>
      <c r="H43" s="249">
        <f>($J$17+$J$18)*$F43</f>
        <v>823.40550000000019</v>
      </c>
      <c r="I43" s="249">
        <f>($M$17+$M$18)*$F43/2/1.03+($M$17+$M$18)*$F43/2/1.03^2</f>
        <v>1428.0487439909512</v>
      </c>
      <c r="J43" s="249">
        <f>($P$17+$P$18)*$F43/3/1.03^3+($P$17+$P$18)*$F43/3/1.03^4+($P$17+$P$18)*$F43/3/1.03^5</f>
        <v>2602.1111471818931</v>
      </c>
      <c r="K43" s="249">
        <f>($S$17+$S$18)*$F43/2/1.03^6+($S$17+$S$18)*$F43/2/1.03^7</f>
        <v>1705.6348492089692</v>
      </c>
      <c r="L43" s="249">
        <f>($V$17+$V$18)*$F43/7/1.03^8+($V$17+$V$18)*$F43/7/1.03^9+($V$17+$V$18)*$F43/7/1.03^10+($V$17+$V$18)*$F43/7/1.03^11+($V$17+$V$18)*$F43/7/1.03^12+($V$17+$V$18)*$F43/7/1.03^13+($V$17+$V$18)*$F43/7/1.03^14</f>
        <v>6863.3681007405794</v>
      </c>
      <c r="M43" s="249">
        <f t="shared" si="2"/>
        <v>13785.610341122392</v>
      </c>
    </row>
    <row r="44" spans="2:13" ht="17.100000000000001" customHeight="1">
      <c r="C44" s="438" t="s">
        <v>172</v>
      </c>
      <c r="D44" s="436" t="s">
        <v>172</v>
      </c>
      <c r="E44" s="245" t="s">
        <v>209</v>
      </c>
      <c r="F44" s="249">
        <f ca="1">'3. Costing Tool'!E$158</f>
        <v>68.662125000000003</v>
      </c>
      <c r="G44" s="249">
        <f>$G$14*$F44</f>
        <v>2422.39977</v>
      </c>
      <c r="H44" s="249">
        <f>$J$14*$F44</f>
        <v>7267.1993100000009</v>
      </c>
      <c r="I44" s="249">
        <f>$M$14*$F44/2/1.03+$M$14*$F44/2/1.03^2</f>
        <v>27811.131302290512</v>
      </c>
      <c r="J44" s="249">
        <f>$P$14*$F44/3/1.03^3+$P$14*$F44/3/1.03^4+$P$14*$F44/3/1.03^5</f>
        <v>48440.19814909227</v>
      </c>
      <c r="K44" s="249">
        <f>$S$14*$F44/2/1.03^6+$S$14*$F44/2/1.03^7</f>
        <v>35985.189247525792</v>
      </c>
      <c r="L44" s="249">
        <f>$V$14*$F44/7/1.03^8+$V$14*$F44/7/1.03^9+$V$14*$F44/7/1.03^10+$V$14*$F44/7/1.03^11+$V$14*$F44/7/1.03^12+$V$14*$F44/7/1.03^13+$V$14*$F44/7/1.03^14</f>
        <v>47332.423196892618</v>
      </c>
      <c r="M44" s="249">
        <f t="shared" si="2"/>
        <v>169258.54097580118</v>
      </c>
    </row>
    <row r="45" spans="2:13" ht="17.100000000000001" customHeight="1">
      <c r="C45" s="439"/>
      <c r="D45" s="441"/>
      <c r="E45" s="245" t="s">
        <v>173</v>
      </c>
      <c r="F45" s="249">
        <f ca="1">'3. Costing Tool'!E$158</f>
        <v>68.662125000000003</v>
      </c>
      <c r="G45" s="249">
        <f>$G$14*$F45</f>
        <v>2422.39977</v>
      </c>
      <c r="H45" s="249">
        <f>$J$14*$F45</f>
        <v>7267.1993100000009</v>
      </c>
      <c r="I45" s="249">
        <f>$M$14*$F45/2/1.03+$M$14*$F45/2/1.03^2</f>
        <v>27811.131302290512</v>
      </c>
      <c r="J45" s="249">
        <f>($P$15+$P$16)*$F45/3/1.03^3+($P$15+$P$16)*$F45/3/1.03^4+($P$15+$P$16)*$F45/3/1.03^5</f>
        <v>23528.096243844819</v>
      </c>
      <c r="K45" s="249">
        <f>($S$15+$S$16)*$F45/2/1.03^6+($S$15+$S$16)*$F45/2/1.03^7</f>
        <v>16707.409293494115</v>
      </c>
      <c r="L45" s="249">
        <f>($V$15+$V$16)*$F45/7/1.03^8+($V$15+$V$16)*$F45/7/1.03^9+($V$15+$V$16)*$F45/7/1.03^10+($V$15+$V$16)*$F45/7/1.03^11+($V$15+$V$16)*$F45/7/1.03^12+($V$15+$V$16)*$F45/7/1.03^13+($V$15+$V$16)*$F45/7/1.03^14</f>
        <v>52591.581329880704</v>
      </c>
      <c r="M45" s="249">
        <f t="shared" si="2"/>
        <v>130327.81724951015</v>
      </c>
    </row>
    <row r="46" spans="2:13" ht="17.100000000000001" customHeight="1">
      <c r="C46" s="440"/>
      <c r="D46" s="437"/>
      <c r="E46" s="254" t="s">
        <v>171</v>
      </c>
      <c r="F46" s="249">
        <f ca="1">'3. Costing Tool'!E$158</f>
        <v>68.662125000000003</v>
      </c>
      <c r="G46" s="249">
        <f>($G$17+$G$18)*$F46</f>
        <v>8206.4971800000003</v>
      </c>
      <c r="H46" s="249">
        <f>($J$17+$J$18)*$F46</f>
        <v>18612.928845000002</v>
      </c>
      <c r="I46" s="249">
        <f>($M$17+$M$18)*$F46/2/1.03+($M$17+$M$18)*$F46/2/1.03^2</f>
        <v>32280.777404444343</v>
      </c>
      <c r="J46" s="249">
        <f>($P$17+$P$18)*$F46/3/1.03^3+($P$17+$P$18)*$F46/3/1.03^4+($P$17+$P$18)*$F46/3/1.03^5</f>
        <v>58820.240609612025</v>
      </c>
      <c r="K46" s="249">
        <f>($S$17+$S$18)*$F46/2/1.03^6+($S$17+$S$18)*$F46/2/1.03^7</f>
        <v>38555.55990806334</v>
      </c>
      <c r="L46" s="249">
        <f>($V$17+$V$18)*$F46/7/1.03^8+($V$17+$V$18)*$F46/7/1.03^9+($V$17+$V$18)*$F46/7/1.03^10+($V$17+$V$18)*$F46/7/1.03^11+($V$17+$V$18)*$F46/7/1.03^12+($V$17+$V$18)*$F46/7/1.03^13+($V$17+$V$18)*$F46/7/1.03^14</f>
        <v>155145.16492314808</v>
      </c>
      <c r="M46" s="249">
        <f t="shared" si="2"/>
        <v>311621.16887026781</v>
      </c>
    </row>
    <row r="48" spans="2:13" ht="42.75">
      <c r="B48" s="244" t="str">
        <f ca="1">'3. Costing Tool'!$F$2</f>
        <v>Current Scenario 
with ANC data</v>
      </c>
      <c r="C48" s="248" t="s">
        <v>389</v>
      </c>
      <c r="D48" s="273" t="s">
        <v>391</v>
      </c>
      <c r="E48" s="273" t="s">
        <v>369</v>
      </c>
      <c r="F48" s="272" t="s">
        <v>392</v>
      </c>
      <c r="G48" s="272" t="s">
        <v>393</v>
      </c>
      <c r="H48" s="272" t="s">
        <v>394</v>
      </c>
      <c r="I48" s="272" t="s">
        <v>395</v>
      </c>
      <c r="J48" s="272" t="s">
        <v>396</v>
      </c>
      <c r="K48" s="272" t="s">
        <v>397</v>
      </c>
      <c r="L48" s="272" t="s">
        <v>398</v>
      </c>
      <c r="M48" s="244" t="s">
        <v>399</v>
      </c>
    </row>
    <row r="49" spans="2:13" ht="17.100000000000001" customHeight="1">
      <c r="C49" s="438" t="s">
        <v>390</v>
      </c>
      <c r="D49" s="242" t="s">
        <v>390</v>
      </c>
      <c r="E49" s="254" t="s">
        <v>171</v>
      </c>
      <c r="F49" s="249">
        <f ca="1">'3. Costing Tool'!F$146</f>
        <v>1.5209999999999999</v>
      </c>
      <c r="G49" s="249">
        <f>($G$17+$G$18)*$F49</f>
        <v>181.78992</v>
      </c>
      <c r="H49" s="249">
        <f>($J$17+$J$18)*$F49</f>
        <v>412.31268000000006</v>
      </c>
      <c r="I49" s="249">
        <f>($M$17+$M$18)*$F49/2/1.03+($M$17+$M$18)*$F49/2/1.03^2</f>
        <v>715.08218587991314</v>
      </c>
      <c r="J49" s="249">
        <f>($P$17+$P$18)*$F49/3/1.03^3+($P$17+$P$18)*$F49/3/1.03^4+($P$17+$P$18)*$F49/3/1.03^5</f>
        <v>1302.9830633295999</v>
      </c>
      <c r="K49" s="249">
        <f>($S$17+$S$18)*$F49/2/1.03^6+($S$17+$S$18)*$F49/2/1.03^7</f>
        <v>854.08085782612068</v>
      </c>
      <c r="L49" s="249">
        <f>($V$17+$V$18)*$F49/7/1.03^8+($V$17+$V$18)*$F49/7/1.03^9+($V$17+$V$18)*$F49/7/1.03^10+($V$17+$V$18)*$F49/7/1.03^11+($V$17+$V$18)*$F49/7/1.03^12+($V$17+$V$18)*$F49/7/1.03^13+($V$17+$V$18)*$F49/7/1.03^14</f>
        <v>3436.7680267412079</v>
      </c>
      <c r="M49" s="249">
        <f t="shared" ref="M49:M54" si="3">SUM(G49:L49)</f>
        <v>6903.0167337768416</v>
      </c>
    </row>
    <row r="50" spans="2:13" ht="17.100000000000001" customHeight="1">
      <c r="C50" s="439"/>
      <c r="D50" s="436" t="s">
        <v>172</v>
      </c>
      <c r="E50" s="245" t="s">
        <v>209</v>
      </c>
      <c r="F50" s="249">
        <f ca="1">'3. Costing Tool'!F$152</f>
        <v>2.2814999999999999</v>
      </c>
      <c r="G50" s="249">
        <f>$G$14*$F50</f>
        <v>80.491320000000002</v>
      </c>
      <c r="H50" s="249">
        <f>$J$14*$F50</f>
        <v>241.47396000000001</v>
      </c>
      <c r="I50" s="249">
        <f>$M$14*$F50/2/1.03+$M$14*$F50/2/1.03^2</f>
        <v>924.10620944481104</v>
      </c>
      <c r="J50" s="249">
        <f>$P$14*$F50/3/1.03^3+$P$14*$F50/3/1.03^4+$P$14*$F50/3/1.03^5</f>
        <v>1609.5673135247998</v>
      </c>
      <c r="K50" s="249">
        <f>$S$14*$F50/2/1.03^6+$S$14*$F50/2/1.03^7</f>
        <v>1195.7132009565694</v>
      </c>
      <c r="L50" s="249">
        <f>$V$14*$F50/7/1.03^8+$V$14*$F50/7/1.03^9+$V$14*$F50/7/1.03^10+$V$14*$F50/7/1.03^11+$V$14*$F50/7/1.03^12+$V$14*$F50/7/1.03^13+$V$14*$F50/7/1.03^14</f>
        <v>1572.7582495256374</v>
      </c>
      <c r="M50" s="249">
        <f t="shared" si="3"/>
        <v>5624.1102534518177</v>
      </c>
    </row>
    <row r="51" spans="2:13" ht="17.100000000000001" customHeight="1">
      <c r="C51" s="440"/>
      <c r="D51" s="437"/>
      <c r="E51" s="254" t="s">
        <v>171</v>
      </c>
      <c r="F51" s="249">
        <f ca="1">'3. Costing Tool'!F$152</f>
        <v>2.2814999999999999</v>
      </c>
      <c r="G51" s="249">
        <f>($G$17+$G$18)*$F51</f>
        <v>272.68488000000002</v>
      </c>
      <c r="H51" s="249">
        <f>($J$17+$J$18)*$F51</f>
        <v>618.46902</v>
      </c>
      <c r="I51" s="249">
        <f>($M$17+$M$18)*$F51/2/1.03+($M$17+$M$18)*$F51/2/1.03^2</f>
        <v>1072.6232788198699</v>
      </c>
      <c r="J51" s="249">
        <f>($P$17+$P$18)*$F51/3/1.03^3+($P$17+$P$18)*$F51/3/1.03^4+($P$17+$P$18)*$F51/3/1.03^5</f>
        <v>1954.4745949943992</v>
      </c>
      <c r="K51" s="249">
        <f>($S$17+$S$18)*$F51/2/1.03^6+($S$17+$S$18)*$F51/2/1.03^7</f>
        <v>1281.1212867391812</v>
      </c>
      <c r="L51" s="249">
        <f>($V$17+$V$18)*$F51/7/1.03^8+($V$17+$V$18)*$F51/7/1.03^9+($V$17+$V$18)*$F51/7/1.03^10+($V$17+$V$18)*$F51/7/1.03^11+($V$17+$V$18)*$F51/7/1.03^12+($V$17+$V$18)*$F51/7/1.03^13+($V$17+$V$18)*$F51/7/1.03^14</f>
        <v>5155.1520401118123</v>
      </c>
      <c r="M51" s="249">
        <f t="shared" si="3"/>
        <v>10354.525100665262</v>
      </c>
    </row>
    <row r="52" spans="2:13" ht="17.100000000000001" customHeight="1">
      <c r="C52" s="438" t="s">
        <v>172</v>
      </c>
      <c r="D52" s="436" t="s">
        <v>172</v>
      </c>
      <c r="E52" s="245" t="s">
        <v>209</v>
      </c>
      <c r="F52" s="249">
        <f ca="1">'3. Costing Tool'!F$158</f>
        <v>90.634005000000002</v>
      </c>
      <c r="G52" s="249">
        <f>$G$14*$F52</f>
        <v>3197.5676964000004</v>
      </c>
      <c r="H52" s="249">
        <f>$J$14*$F52</f>
        <v>9592.7030892000002</v>
      </c>
      <c r="I52" s="249">
        <f>$M$14*$F52/2/1.03+$M$14*$F52/2/1.03^2</f>
        <v>36710.69331902347</v>
      </c>
      <c r="J52" s="249">
        <f>$P$14*$F52/3/1.03^3+$P$14*$F52/3/1.03^4+$P$14*$F52/3/1.03^5</f>
        <v>63941.061556801797</v>
      </c>
      <c r="K52" s="249">
        <f>$S$14*$F52/2/1.03^6+$S$14*$F52/2/1.03^7</f>
        <v>47500.449806734039</v>
      </c>
      <c r="L52" s="249">
        <f>$V$14*$F52/7/1.03^8+$V$14*$F52/7/1.03^9+$V$14*$F52/7/1.03^10+$V$14*$F52/7/1.03^11+$V$14*$F52/7/1.03^12+$V$14*$F52/7/1.03^13+$V$14*$F52/7/1.03^14</f>
        <v>62478.798619898254</v>
      </c>
      <c r="M52" s="249">
        <f t="shared" si="3"/>
        <v>223421.27408805757</v>
      </c>
    </row>
    <row r="53" spans="2:13" ht="17.100000000000001" customHeight="1">
      <c r="C53" s="439"/>
      <c r="D53" s="441"/>
      <c r="E53" s="245" t="s">
        <v>173</v>
      </c>
      <c r="F53" s="249">
        <f ca="1">'3. Costing Tool'!F$158</f>
        <v>90.634005000000002</v>
      </c>
      <c r="G53" s="249">
        <f>$G$14*$F53</f>
        <v>3197.5676964000004</v>
      </c>
      <c r="H53" s="249">
        <f>$J$14*$F53</f>
        <v>9592.7030892000002</v>
      </c>
      <c r="I53" s="249">
        <f>$M$14*$F53/2/1.03+$M$14*$F53/2/1.03^2</f>
        <v>36710.69331902347</v>
      </c>
      <c r="J53" s="249">
        <f>($P$15+$P$16)*$F53/3/1.03^3+($P$15+$P$16)*$F53/3/1.03^4+($P$15+$P$16)*$F53/3/1.03^5</f>
        <v>31057.087041875158</v>
      </c>
      <c r="K53" s="249">
        <f>($S$15+$S$16)*$F53/2/1.03^6+($S$15+$S$16)*$F53/2/1.03^7</f>
        <v>22053.780267412232</v>
      </c>
      <c r="L53" s="249">
        <f>($V$15+$V$16)*$F53/7/1.03^8+($V$15+$V$16)*$F53/7/1.03^9+($V$15+$V$16)*$F53/7/1.03^10+($V$15+$V$16)*$F53/7/1.03^11+($V$15+$V$16)*$F53/7/1.03^12+($V$15+$V$16)*$F53/7/1.03^13+($V$15+$V$16)*$F53/7/1.03^14</f>
        <v>69420.887355442523</v>
      </c>
      <c r="M53" s="249">
        <f t="shared" si="3"/>
        <v>172032.71876935341</v>
      </c>
    </row>
    <row r="54" spans="2:13" ht="17.100000000000001" customHeight="1">
      <c r="C54" s="440"/>
      <c r="D54" s="437"/>
      <c r="E54" s="254" t="s">
        <v>171</v>
      </c>
      <c r="F54" s="249">
        <f ca="1">'3. Costing Tool'!F$158</f>
        <v>90.634005000000002</v>
      </c>
      <c r="G54" s="249">
        <f>($G$17+$G$18)*$F54</f>
        <v>10832.576277600001</v>
      </c>
      <c r="H54" s="249">
        <f>($J$17+$J$18)*$F54</f>
        <v>24569.066075400006</v>
      </c>
      <c r="I54" s="249">
        <f>($M$17+$M$18)*$F54/2/1.03+($M$17+$M$18)*$F54/2/1.03^2</f>
        <v>42610.626173866534</v>
      </c>
      <c r="J54" s="249">
        <f>($P$17+$P$18)*$F54/3/1.03^3+($P$17+$P$18)*$F54/3/1.03^4+($P$17+$P$18)*$F54/3/1.03^5</f>
        <v>77642.717604687889</v>
      </c>
      <c r="K54" s="249">
        <f>($S$17+$S$18)*$F54/2/1.03^6+($S$17+$S$18)*$F54/2/1.03^7</f>
        <v>50893.339078643607</v>
      </c>
      <c r="L54" s="249">
        <f>($V$17+$V$18)*$F54/7/1.03^8+($V$17+$V$18)*$F54/7/1.03^9+($V$17+$V$18)*$F54/7/1.03^10+($V$17+$V$18)*$F54/7/1.03^11+($V$17+$V$18)*$F54/7/1.03^12+($V$17+$V$18)*$F54/7/1.03^13+($V$17+$V$18)*$F54/7/1.03^14</f>
        <v>204791.61769855546</v>
      </c>
      <c r="M54" s="249">
        <f t="shared" si="3"/>
        <v>411339.94290875347</v>
      </c>
    </row>
    <row r="56" spans="2:13" ht="42.75">
      <c r="B56" s="244" t="str">
        <f ca="1">'3. Costing Tool'!$G$2</f>
        <v>Current Scenario without ANC data</v>
      </c>
      <c r="C56" s="248" t="s">
        <v>389</v>
      </c>
      <c r="D56" s="273" t="s">
        <v>391</v>
      </c>
      <c r="E56" s="273" t="s">
        <v>369</v>
      </c>
      <c r="F56" s="272" t="s">
        <v>392</v>
      </c>
      <c r="G56" s="272" t="s">
        <v>393</v>
      </c>
      <c r="H56" s="272" t="s">
        <v>394</v>
      </c>
      <c r="I56" s="272" t="s">
        <v>395</v>
      </c>
      <c r="J56" s="272" t="s">
        <v>396</v>
      </c>
      <c r="K56" s="272" t="s">
        <v>397</v>
      </c>
      <c r="L56" s="272" t="s">
        <v>398</v>
      </c>
      <c r="M56" s="244" t="s">
        <v>399</v>
      </c>
    </row>
    <row r="57" spans="2:13" ht="17.100000000000001" customHeight="1">
      <c r="C57" s="438" t="s">
        <v>390</v>
      </c>
      <c r="D57" s="242" t="s">
        <v>390</v>
      </c>
      <c r="E57" s="254" t="s">
        <v>171</v>
      </c>
      <c r="F57" s="249">
        <f ca="1">'3. Costing Tool'!G$146</f>
        <v>1.6</v>
      </c>
      <c r="G57" s="249">
        <f>($G$17+$G$18)*$F57</f>
        <v>191.23200000000003</v>
      </c>
      <c r="H57" s="249">
        <f>($J$17+$J$18)*$F57</f>
        <v>433.72800000000007</v>
      </c>
      <c r="I57" s="249">
        <f>($M$17+$M$18)*$F57/2/1.03+($M$17+$M$18)*$F57/2/1.03^2</f>
        <v>752.22320671128296</v>
      </c>
      <c r="J57" s="249">
        <f>($P$17+$P$18)*$F57/3/1.03^3+($P$17+$P$18)*$F57/3/1.03^4+($P$17+$P$18)*$F57/3/1.03^5</f>
        <v>1370.6593697089809</v>
      </c>
      <c r="K57" s="249">
        <f>($S$17+$S$18)*$F57/2/1.03^6+($S$17+$S$18)*$F57/2/1.03^7</f>
        <v>898.44140205246117</v>
      </c>
      <c r="L57" s="249">
        <f>($V$17+$V$18)*$F57/7/1.03^8+($V$17+$V$18)*$F57/7/1.03^9+($V$17+$V$18)*$F57/7/1.03^10+($V$17+$V$18)*$F57/7/1.03^11+($V$17+$V$18)*$F57/7/1.03^12+($V$17+$V$18)*$F57/7/1.03^13+($V$17+$V$18)*$F57/7/1.03^14</f>
        <v>3615.2720859868077</v>
      </c>
      <c r="M57" s="249">
        <f t="shared" ref="M57:M62" si="4">SUM(G57:L57)</f>
        <v>7261.5560644595325</v>
      </c>
    </row>
    <row r="58" spans="2:13" ht="17.100000000000001" customHeight="1">
      <c r="C58" s="439"/>
      <c r="D58" s="436" t="s">
        <v>172</v>
      </c>
      <c r="E58" s="245" t="s">
        <v>209</v>
      </c>
      <c r="F58" s="249">
        <f ca="1">'3. Costing Tool'!G$152</f>
        <v>2.4</v>
      </c>
      <c r="G58" s="249">
        <f>$G$14*$F58</f>
        <v>84.671999999999997</v>
      </c>
      <c r="H58" s="249">
        <f>$J$14*$F58</f>
        <v>254.01599999999999</v>
      </c>
      <c r="I58" s="249">
        <f>$M$14*$F58/2/1.03+$M$14*$F58/2/1.03^2</f>
        <v>972.10383636535016</v>
      </c>
      <c r="J58" s="249">
        <f>$P$14*$F58/3/1.03^3+$P$14*$F58/3/1.03^4+$P$14*$F58/3/1.03^5</f>
        <v>1693.1674566993295</v>
      </c>
      <c r="K58" s="249">
        <f>$S$14*$F58/2/1.03^6+$S$14*$F58/2/1.03^7</f>
        <v>1257.8179628734456</v>
      </c>
      <c r="L58" s="249">
        <f>$V$14*$F58/7/1.03^8+$V$14*$F58/7/1.03^9+$V$14*$F58/7/1.03^10+$V$14*$F58/7/1.03^11+$V$14*$F58/7/1.03^12+$V$14*$F58/7/1.03^13+$V$14*$F58/7/1.03^14</f>
        <v>1654.4465478244708</v>
      </c>
      <c r="M58" s="249">
        <f t="shared" si="4"/>
        <v>5916.2238037625957</v>
      </c>
    </row>
    <row r="59" spans="2:13" ht="17.100000000000001" customHeight="1">
      <c r="C59" s="440"/>
      <c r="D59" s="437"/>
      <c r="E59" s="254" t="s">
        <v>171</v>
      </c>
      <c r="F59" s="249">
        <f ca="1">'3. Costing Tool'!G$152</f>
        <v>2.4</v>
      </c>
      <c r="G59" s="249">
        <f>($G$17+$G$18)*$F59</f>
        <v>286.84800000000001</v>
      </c>
      <c r="H59" s="249">
        <f>($J$17+$J$18)*$F59</f>
        <v>650.5920000000001</v>
      </c>
      <c r="I59" s="249">
        <f>($M$17+$M$18)*$F59/2/1.03+($M$17+$M$18)*$F59/2/1.03^2</f>
        <v>1128.3348100669241</v>
      </c>
      <c r="J59" s="249">
        <f>($P$17+$P$18)*$F59/3/1.03^3+($P$17+$P$18)*$F59/3/1.03^4+($P$17+$P$18)*$F59/3/1.03^5</f>
        <v>2055.9890545634707</v>
      </c>
      <c r="K59" s="249">
        <f>($S$17+$S$18)*$F59/2/1.03^6+($S$17+$S$18)*$F59/2/1.03^7</f>
        <v>1347.6621030786914</v>
      </c>
      <c r="L59" s="249">
        <f>($V$17+$V$18)*$F59/7/1.03^8+($V$17+$V$18)*$F59/7/1.03^9+($V$17+$V$18)*$F59/7/1.03^10+($V$17+$V$18)*$F59/7/1.03^11+($V$17+$V$18)*$F59/7/1.03^12+($V$17+$V$18)*$F59/7/1.03^13+($V$17+$V$18)*$F59/7/1.03^14</f>
        <v>5422.9081289802098</v>
      </c>
      <c r="M59" s="249">
        <f t="shared" si="4"/>
        <v>10892.334096689297</v>
      </c>
    </row>
    <row r="60" spans="2:13" ht="17.100000000000001" customHeight="1">
      <c r="C60" s="438" t="s">
        <v>172</v>
      </c>
      <c r="D60" s="436" t="s">
        <v>172</v>
      </c>
      <c r="E60" s="245" t="s">
        <v>209</v>
      </c>
      <c r="F60" s="249">
        <f ca="1">'3. Costing Tool'!G$158</f>
        <v>104.62800000000001</v>
      </c>
      <c r="G60" s="249">
        <f>$G$14*$F60</f>
        <v>3691.2758400000007</v>
      </c>
      <c r="H60" s="249">
        <f>$J$14*$F60</f>
        <v>11073.827520000003</v>
      </c>
      <c r="I60" s="249">
        <f>$M$14*$F60/2/1.03+$M$14*$F60/2/1.03^2</f>
        <v>42378.866746347456</v>
      </c>
      <c r="J60" s="249">
        <f>$P$14*$F60/3/1.03^3+$P$14*$F60/3/1.03^4+$P$14*$F60/3/1.03^5</f>
        <v>73813.635274807282</v>
      </c>
      <c r="K60" s="249">
        <f>$S$14*$F60/2/1.03^6+$S$14*$F60/2/1.03^7</f>
        <v>54834.574091467875</v>
      </c>
      <c r="L60" s="249">
        <f>$V$14*$F60/7/1.03^8+$V$14*$F60/7/1.03^9+$V$14*$F60/7/1.03^10+$V$14*$F60/7/1.03^11+$V$14*$F60/7/1.03^12+$V$14*$F60/7/1.03^13+$V$14*$F60/7/1.03^14</f>
        <v>72125.597252407824</v>
      </c>
      <c r="M60" s="249">
        <f t="shared" si="4"/>
        <v>257917.77672503045</v>
      </c>
    </row>
    <row r="61" spans="2:13" ht="17.100000000000001" customHeight="1">
      <c r="C61" s="439"/>
      <c r="D61" s="441"/>
      <c r="E61" s="245" t="s">
        <v>173</v>
      </c>
      <c r="F61" s="249">
        <f ca="1">'3. Costing Tool'!G$158</f>
        <v>104.62800000000001</v>
      </c>
      <c r="G61" s="249">
        <f>$G$14*$F61</f>
        <v>3691.2758400000007</v>
      </c>
      <c r="H61" s="249">
        <f>$J$14*$F61</f>
        <v>11073.827520000003</v>
      </c>
      <c r="I61" s="249">
        <f>$M$14*$F61/2/1.03+$M$14*$F61/2/1.03^2</f>
        <v>42378.866746347456</v>
      </c>
      <c r="J61" s="249">
        <f>($P$15+$P$16)*$F61/3/1.03^3+($P$15+$P$16)*$F61/3/1.03^4+($P$15+$P$16)*$F61/3/1.03^5</f>
        <v>35852.337133477813</v>
      </c>
      <c r="K61" s="249">
        <f>($S$15+$S$16)*$F61/2/1.03^6+($S$15+$S$16)*$F61/2/1.03^7</f>
        <v>25458.909399610086</v>
      </c>
      <c r="L61" s="249">
        <f>($V$15+$V$16)*$F61/7/1.03^8+($V$15+$V$16)*$F61/7/1.03^9+($V$15+$V$16)*$F61/7/1.03^10+($V$15+$V$16)*$F61/7/1.03^11+($V$15+$V$16)*$F61/7/1.03^12+($V$15+$V$16)*$F61/7/1.03^13+($V$15+$V$16)*$F61/7/1.03^14</f>
        <v>80139.55250267536</v>
      </c>
      <c r="M61" s="249">
        <f t="shared" si="4"/>
        <v>198594.76914211072</v>
      </c>
    </row>
    <row r="62" spans="2:13" ht="17.100000000000001" customHeight="1">
      <c r="C62" s="440"/>
      <c r="D62" s="437"/>
      <c r="E62" s="254" t="s">
        <v>171</v>
      </c>
      <c r="F62" s="249">
        <f ca="1">'3. Costing Tool'!G$158</f>
        <v>104.62800000000001</v>
      </c>
      <c r="G62" s="249">
        <f>($G$17+$G$18)*$F62</f>
        <v>12505.138560000003</v>
      </c>
      <c r="H62" s="249">
        <f>($J$17+$J$18)*$F62</f>
        <v>28362.558240000009</v>
      </c>
      <c r="I62" s="249">
        <f>($M$17+$M$18)*$F62/2/1.03+($M$17+$M$18)*$F62/2/1.03^2</f>
        <v>49189.756044867565</v>
      </c>
      <c r="J62" s="249">
        <f>($P$17+$P$18)*$F62/3/1.03^3+($P$17+$P$18)*$F62/3/1.03^4+($P$17+$P$18)*$F62/3/1.03^5</f>
        <v>89630.842833694551</v>
      </c>
      <c r="K62" s="249">
        <f>($S$17+$S$18)*$F62/2/1.03^6+($S$17+$S$18)*$F62/2/1.03^7</f>
        <v>58751.329383715572</v>
      </c>
      <c r="L62" s="249">
        <f>($V$17+$V$18)*$F62/7/1.03^8+($V$17+$V$18)*$F62/7/1.03^9+($V$17+$V$18)*$F62/7/1.03^10+($V$17+$V$18)*$F62/7/1.03^11+($V$17+$V$18)*$F62/7/1.03^12+($V$17+$V$18)*$F62/7/1.03^13+($V$17+$V$18)*$F62/7/1.03^14</f>
        <v>236411.67988289235</v>
      </c>
      <c r="M62" s="249">
        <f t="shared" si="4"/>
        <v>474851.30494517006</v>
      </c>
    </row>
  </sheetData>
  <mergeCells count="24">
    <mergeCell ref="C60:C62"/>
    <mergeCell ref="D60:D62"/>
    <mergeCell ref="C49:C51"/>
    <mergeCell ref="D50:D51"/>
    <mergeCell ref="C52:C54"/>
    <mergeCell ref="D52:D54"/>
    <mergeCell ref="C57:C59"/>
    <mergeCell ref="D58:D59"/>
    <mergeCell ref="G4:H4"/>
    <mergeCell ref="C41:C43"/>
    <mergeCell ref="D42:D43"/>
    <mergeCell ref="C44:C46"/>
    <mergeCell ref="D44:D46"/>
    <mergeCell ref="D26:D27"/>
    <mergeCell ref="C25:C27"/>
    <mergeCell ref="C28:C30"/>
    <mergeCell ref="D28:D30"/>
    <mergeCell ref="C33:C35"/>
    <mergeCell ref="B2:C4"/>
    <mergeCell ref="D34:D35"/>
    <mergeCell ref="C36:C38"/>
    <mergeCell ref="D36:D38"/>
    <mergeCell ref="C15:C16"/>
    <mergeCell ref="C17:C18"/>
  </mergeCells>
  <phoneticPr fontId="5"/>
  <pageMargins left="0.7" right="0.7" top="0.75" bottom="0.75" header="0.3" footer="0.3"/>
  <pageSetup paperSize="9" scale="33" orientation="landscape" horizontalDpi="4294967293" verticalDpi="4294967293" r:id="rId1"/>
</worksheet>
</file>

<file path=xl/worksheets/sheet9.xml><?xml version="1.0" encoding="utf-8"?>
<worksheet xmlns="http://schemas.openxmlformats.org/spreadsheetml/2006/main" xmlns:r="http://schemas.openxmlformats.org/officeDocument/2006/relationships">
  <sheetPr>
    <tabColor indexed="50"/>
  </sheetPr>
  <dimension ref="A2:B18"/>
  <sheetViews>
    <sheetView showGridLines="0" topLeftCell="A16" zoomScale="90" zoomScaleNormal="90" workbookViewId="0">
      <selection activeCell="D12" sqref="D12"/>
    </sheetView>
  </sheetViews>
  <sheetFormatPr defaultRowHeight="15"/>
  <cols>
    <col min="1" max="1" width="5" customWidth="1"/>
    <col min="2" max="2" width="176.42578125" customWidth="1"/>
  </cols>
  <sheetData>
    <row r="2" spans="1:2" ht="33.75" customHeight="1">
      <c r="A2" s="357"/>
      <c r="B2" s="358" t="s">
        <v>409</v>
      </c>
    </row>
    <row r="3" spans="1:2" ht="60" customHeight="1">
      <c r="B3" s="295" t="s">
        <v>400</v>
      </c>
    </row>
    <row r="4" spans="1:2" ht="30.75" customHeight="1">
      <c r="B4" s="292" t="s">
        <v>401</v>
      </c>
    </row>
    <row r="5" spans="1:2" ht="39.75" customHeight="1">
      <c r="B5" s="292" t="s">
        <v>361</v>
      </c>
    </row>
    <row r="6" spans="1:2" ht="45" customHeight="1">
      <c r="B6" s="293" t="s">
        <v>402</v>
      </c>
    </row>
    <row r="7" spans="1:2" ht="36.75" customHeight="1">
      <c r="B7" s="292" t="s">
        <v>403</v>
      </c>
    </row>
    <row r="8" spans="1:2" ht="36.75" customHeight="1">
      <c r="B8" s="292" t="s">
        <v>362</v>
      </c>
    </row>
    <row r="9" spans="1:2" ht="28.5" customHeight="1">
      <c r="B9" s="292" t="s">
        <v>455</v>
      </c>
    </row>
    <row r="10" spans="1:2" ht="45.75" customHeight="1">
      <c r="B10" s="293" t="s">
        <v>404</v>
      </c>
    </row>
    <row r="11" spans="1:2" ht="33.75" customHeight="1">
      <c r="B11" s="292" t="s">
        <v>456</v>
      </c>
    </row>
    <row r="12" spans="1:2" ht="34.5" customHeight="1">
      <c r="B12" s="292" t="s">
        <v>175</v>
      </c>
    </row>
    <row r="13" spans="1:2" ht="33.75" customHeight="1">
      <c r="B13" s="292" t="s">
        <v>457</v>
      </c>
    </row>
    <row r="14" spans="1:2" ht="41.25" customHeight="1">
      <c r="B14" s="356" t="s">
        <v>406</v>
      </c>
    </row>
    <row r="15" spans="1:2" ht="27" customHeight="1">
      <c r="B15" s="292" t="s">
        <v>407</v>
      </c>
    </row>
    <row r="16" spans="1:2" ht="30" customHeight="1">
      <c r="B16" s="292" t="s">
        <v>168</v>
      </c>
    </row>
    <row r="17" spans="2:2" ht="33.75" customHeight="1">
      <c r="B17" s="292" t="s">
        <v>408</v>
      </c>
    </row>
    <row r="18" spans="2:2" ht="27" customHeight="1">
      <c r="B18" s="294" t="s">
        <v>405</v>
      </c>
    </row>
  </sheetData>
  <phoneticPr fontId="5"/>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1. About this tool</vt:lpstr>
      <vt:lpstr>2. Instructions</vt:lpstr>
      <vt:lpstr>3. Costing Tool</vt:lpstr>
      <vt:lpstr>4. Summary tables</vt:lpstr>
      <vt:lpstr>5. Summary graphs</vt:lpstr>
      <vt:lpstr>6. Drug Costs for PMTCT</vt:lpstr>
      <vt:lpstr>7.Costs for Replacement feeding</vt:lpstr>
      <vt:lpstr>8.Drug costs for paediatric HIV</vt:lpstr>
      <vt:lpstr>9. References</vt:lpstr>
      <vt:lpstr>10.Acronyms</vt:lpstr>
      <vt:lpstr>'2. Instructions'!Print_Area</vt:lpstr>
      <vt:lpstr>'3. Costing Tool'!Print_Area</vt:lpstr>
      <vt:lpstr>'4. Summary tables'!Print_Area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Naoko</dc:creator>
  <cp:lastModifiedBy>garciabe</cp:lastModifiedBy>
  <cp:lastPrinted>2011-10-20T20:09:35Z</cp:lastPrinted>
  <dcterms:created xsi:type="dcterms:W3CDTF">2010-12-16T22:38:05Z</dcterms:created>
  <dcterms:modified xsi:type="dcterms:W3CDTF">2011-11-02T18:32:01Z</dcterms:modified>
</cp:coreProperties>
</file>